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Хананова_ОБЩЕЕ\ПРОЕКТЫ\QuikCapc\МОИ ПРОДУКТЫ ДЛЯ САЙТА И ПРОДАЖИ\"/>
    </mc:Choice>
  </mc:AlternateContent>
  <xr:revisionPtr revIDLastSave="0" documentId="13_ncr:1_{EB550365-41D8-4C87-87BF-E04F2418BB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ИТОГ_МАСТЕР БЮДЖЕТ" sheetId="1" r:id="rId1"/>
    <sheet name="Инструкция" sheetId="2" r:id="rId2"/>
    <sheet name="Вводные" sheetId="3" r:id="rId3"/>
    <sheet name="Операционные" sheetId="4" r:id="rId4"/>
    <sheet name="Финансирование" sheetId="5" r:id="rId5"/>
    <sheet name="БДР" sheetId="6" r:id="rId6"/>
    <sheet name="БДДС" sheetId="7" r:id="rId7"/>
    <sheet name="Баланс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5" l="1"/>
  <c r="B16" i="4"/>
  <c r="B14" i="7" s="1"/>
  <c r="B17" i="4"/>
  <c r="B12" i="6" s="1"/>
  <c r="B29" i="3"/>
  <c r="B15" i="7"/>
  <c r="B6" i="7"/>
  <c r="F6" i="7" s="1"/>
  <c r="B23" i="5"/>
  <c r="F23" i="5" s="1"/>
  <c r="B19" i="5"/>
  <c r="F19" i="5" s="1"/>
  <c r="B15" i="5"/>
  <c r="B16" i="5" s="1"/>
  <c r="E14" i="5"/>
  <c r="D14" i="5"/>
  <c r="C14" i="5"/>
  <c r="B13" i="5"/>
  <c r="F13" i="5" s="1"/>
  <c r="E11" i="5"/>
  <c r="D11" i="5"/>
  <c r="C11" i="5"/>
  <c r="B11" i="5"/>
  <c r="B9" i="5"/>
  <c r="B12" i="5" s="1"/>
  <c r="B16" i="7" s="1"/>
  <c r="E8" i="5"/>
  <c r="D8" i="5"/>
  <c r="D21" i="7" s="1"/>
  <c r="D14" i="1" s="1"/>
  <c r="C8" i="5"/>
  <c r="B8" i="5"/>
  <c r="E7" i="5"/>
  <c r="D7" i="5"/>
  <c r="C7" i="5"/>
  <c r="B7" i="5"/>
  <c r="E6" i="5"/>
  <c r="E20" i="7" s="1"/>
  <c r="E13" i="1" s="1"/>
  <c r="D6" i="5"/>
  <c r="D20" i="7" s="1"/>
  <c r="D13" i="1" s="1"/>
  <c r="C6" i="5"/>
  <c r="B6" i="5"/>
  <c r="B20" i="7" s="1"/>
  <c r="E17" i="4"/>
  <c r="E15" i="7" s="1"/>
  <c r="D17" i="4"/>
  <c r="D15" i="7" s="1"/>
  <c r="C17" i="4"/>
  <c r="C15" i="7" s="1"/>
  <c r="E16" i="4"/>
  <c r="E14" i="7" s="1"/>
  <c r="D16" i="4"/>
  <c r="D14" i="7" s="1"/>
  <c r="C16" i="4"/>
  <c r="C11" i="6" s="1"/>
  <c r="E14" i="4"/>
  <c r="D14" i="4"/>
  <c r="D15" i="4" s="1"/>
  <c r="D13" i="7" s="1"/>
  <c r="C14" i="4"/>
  <c r="B14" i="4"/>
  <c r="E12" i="4"/>
  <c r="D12" i="4"/>
  <c r="C12" i="4"/>
  <c r="B12" i="4"/>
  <c r="E10" i="4"/>
  <c r="E11" i="4" s="1"/>
  <c r="D10" i="4"/>
  <c r="C10" i="4"/>
  <c r="B10" i="4"/>
  <c r="E7" i="4"/>
  <c r="E8" i="4" s="1"/>
  <c r="D7" i="4"/>
  <c r="D8" i="4" s="1"/>
  <c r="D6" i="6" s="1"/>
  <c r="D6" i="1" s="1"/>
  <c r="C7" i="4"/>
  <c r="B7" i="4"/>
  <c r="B8" i="4" s="1"/>
  <c r="B6" i="6" s="1"/>
  <c r="E6" i="4"/>
  <c r="D6" i="4"/>
  <c r="C6" i="4"/>
  <c r="C13" i="4" s="1"/>
  <c r="B6" i="4"/>
  <c r="B13" i="4" s="1"/>
  <c r="B12" i="7" s="1"/>
  <c r="F15" i="3"/>
  <c r="F14" i="3"/>
  <c r="F13" i="3"/>
  <c r="F12" i="3"/>
  <c r="F11" i="3"/>
  <c r="F6" i="3"/>
  <c r="F8" i="5" l="1"/>
  <c r="D13" i="4"/>
  <c r="B16" i="6"/>
  <c r="B17" i="5"/>
  <c r="D15" i="5"/>
  <c r="B21" i="7"/>
  <c r="B14" i="1" s="1"/>
  <c r="B11" i="4"/>
  <c r="B8" i="6" s="1"/>
  <c r="F9" i="5"/>
  <c r="D11" i="4"/>
  <c r="D8" i="6" s="1"/>
  <c r="C21" i="7"/>
  <c r="C14" i="1" s="1"/>
  <c r="D11" i="6"/>
  <c r="B15" i="4"/>
  <c r="C12" i="6"/>
  <c r="F12" i="6" s="1"/>
  <c r="F17" i="4"/>
  <c r="E15" i="4"/>
  <c r="E21" i="7"/>
  <c r="E14" i="1" s="1"/>
  <c r="D9" i="6"/>
  <c r="D12" i="7"/>
  <c r="B24" i="5"/>
  <c r="C12" i="7"/>
  <c r="C9" i="6"/>
  <c r="F13" i="4"/>
  <c r="F12" i="4" s="1"/>
  <c r="F14" i="7"/>
  <c r="E8" i="6"/>
  <c r="E24" i="5"/>
  <c r="F15" i="7"/>
  <c r="E13" i="7"/>
  <c r="E10" i="6"/>
  <c r="D16" i="5"/>
  <c r="D16" i="6" s="1"/>
  <c r="B6" i="1"/>
  <c r="B13" i="1"/>
  <c r="F20" i="7"/>
  <c r="B9" i="6"/>
  <c r="C14" i="7"/>
  <c r="C11" i="4"/>
  <c r="E13" i="4"/>
  <c r="F6" i="5"/>
  <c r="B20" i="5"/>
  <c r="B21" i="5" s="1"/>
  <c r="B30" i="3"/>
  <c r="C8" i="4"/>
  <c r="F8" i="4" s="1"/>
  <c r="D20" i="5"/>
  <c r="E6" i="6"/>
  <c r="D12" i="6"/>
  <c r="B19" i="6"/>
  <c r="F14" i="5"/>
  <c r="E20" i="5"/>
  <c r="E12" i="6"/>
  <c r="C20" i="7"/>
  <c r="C13" i="1" s="1"/>
  <c r="F16" i="4"/>
  <c r="B10" i="5"/>
  <c r="D10" i="6"/>
  <c r="F7" i="5"/>
  <c r="C15" i="5"/>
  <c r="C16" i="5" s="1"/>
  <c r="F6" i="4"/>
  <c r="E15" i="5"/>
  <c r="E16" i="5" s="1"/>
  <c r="E16" i="6" s="1"/>
  <c r="B11" i="6"/>
  <c r="C15" i="4"/>
  <c r="E11" i="6"/>
  <c r="F13" i="1" l="1"/>
  <c r="F11" i="4"/>
  <c r="F21" i="7"/>
  <c r="D13" i="6"/>
  <c r="D15" i="6" s="1"/>
  <c r="F14" i="1"/>
  <c r="D18" i="4"/>
  <c r="D19" i="4" s="1"/>
  <c r="B18" i="4"/>
  <c r="B19" i="4" s="1"/>
  <c r="B25" i="5"/>
  <c r="B11" i="7" s="1"/>
  <c r="D24" i="5"/>
  <c r="F15" i="5"/>
  <c r="F16" i="5"/>
  <c r="C16" i="6"/>
  <c r="F16" i="6" s="1"/>
  <c r="D7" i="1"/>
  <c r="B8" i="7"/>
  <c r="D7" i="8"/>
  <c r="E19" i="5"/>
  <c r="E21" i="5" s="1"/>
  <c r="E8" i="7" s="1"/>
  <c r="E9" i="7" s="1"/>
  <c r="B11" i="8"/>
  <c r="C23" i="5"/>
  <c r="B12" i="8"/>
  <c r="B17" i="1" s="1"/>
  <c r="C9" i="5"/>
  <c r="E23" i="5"/>
  <c r="E25" i="5" s="1"/>
  <c r="E11" i="7" s="1"/>
  <c r="D11" i="8"/>
  <c r="E12" i="7"/>
  <c r="F12" i="7" s="1"/>
  <c r="E9" i="6"/>
  <c r="F9" i="6" s="1"/>
  <c r="F15" i="4"/>
  <c r="F14" i="4" s="1"/>
  <c r="B13" i="7"/>
  <c r="B10" i="6"/>
  <c r="C13" i="7"/>
  <c r="C10" i="6"/>
  <c r="B7" i="8"/>
  <c r="C19" i="5"/>
  <c r="E7" i="8"/>
  <c r="F7" i="8" s="1"/>
  <c r="F20" i="5"/>
  <c r="F10" i="4"/>
  <c r="C18" i="4"/>
  <c r="C19" i="4" s="1"/>
  <c r="C8" i="6"/>
  <c r="C24" i="5"/>
  <c r="F24" i="5"/>
  <c r="E11" i="8"/>
  <c r="F7" i="3"/>
  <c r="F7" i="4"/>
  <c r="C13" i="5"/>
  <c r="C17" i="5" s="1"/>
  <c r="B8" i="8"/>
  <c r="C20" i="5"/>
  <c r="C6" i="6"/>
  <c r="F11" i="6"/>
  <c r="E18" i="4"/>
  <c r="E19" i="4" s="1"/>
  <c r="E6" i="1"/>
  <c r="C25" i="5" l="1"/>
  <c r="C11" i="7" s="1"/>
  <c r="F10" i="6"/>
  <c r="F13" i="7"/>
  <c r="C13" i="6"/>
  <c r="C7" i="1" s="1"/>
  <c r="B13" i="6"/>
  <c r="B7" i="1" s="1"/>
  <c r="C15" i="6"/>
  <c r="C6" i="1"/>
  <c r="F6" i="1" s="1"/>
  <c r="F6" i="6"/>
  <c r="F8" i="6"/>
  <c r="D13" i="5"/>
  <c r="D17" i="5" s="1"/>
  <c r="C8" i="8"/>
  <c r="C21" i="5"/>
  <c r="D17" i="6"/>
  <c r="D8" i="1"/>
  <c r="E13" i="6"/>
  <c r="C7" i="8"/>
  <c r="D19" i="5"/>
  <c r="D21" i="5" s="1"/>
  <c r="D8" i="7" s="1"/>
  <c r="D9" i="7" s="1"/>
  <c r="B9" i="7"/>
  <c r="F11" i="8"/>
  <c r="F18" i="4"/>
  <c r="F19" i="4"/>
  <c r="C11" i="8"/>
  <c r="D23" i="5"/>
  <c r="D25" i="5" s="1"/>
  <c r="D11" i="7" s="1"/>
  <c r="C10" i="5"/>
  <c r="C12" i="5"/>
  <c r="F13" i="6" l="1"/>
  <c r="B15" i="6"/>
  <c r="C8" i="7"/>
  <c r="F21" i="5"/>
  <c r="C16" i="7"/>
  <c r="C19" i="6"/>
  <c r="D8" i="8"/>
  <c r="E13" i="5"/>
  <c r="E17" i="5" s="1"/>
  <c r="B17" i="6"/>
  <c r="B8" i="1"/>
  <c r="C12" i="8"/>
  <c r="C17" i="1" s="1"/>
  <c r="D9" i="5"/>
  <c r="F11" i="7"/>
  <c r="E7" i="1"/>
  <c r="F7" i="1" s="1"/>
  <c r="E15" i="6"/>
  <c r="F25" i="5"/>
  <c r="C8" i="1"/>
  <c r="C17" i="6"/>
  <c r="B20" i="6" l="1"/>
  <c r="B27" i="5" s="1"/>
  <c r="D10" i="5"/>
  <c r="D12" i="5"/>
  <c r="F17" i="5"/>
  <c r="E8" i="8"/>
  <c r="F8" i="8" s="1"/>
  <c r="E17" i="6"/>
  <c r="E8" i="1"/>
  <c r="F8" i="1" s="1"/>
  <c r="C20" i="6"/>
  <c r="F15" i="6"/>
  <c r="C9" i="7"/>
  <c r="F8" i="7"/>
  <c r="D16" i="7" l="1"/>
  <c r="D19" i="6"/>
  <c r="F9" i="7"/>
  <c r="D12" i="8"/>
  <c r="E9" i="5"/>
  <c r="F17" i="6"/>
  <c r="C27" i="5"/>
  <c r="E10" i="5" l="1"/>
  <c r="E12" i="5"/>
  <c r="C28" i="5"/>
  <c r="C17" i="7" s="1"/>
  <c r="C18" i="7" s="1"/>
  <c r="C19" i="7" s="1"/>
  <c r="C22" i="6"/>
  <c r="C23" i="6" s="1"/>
  <c r="D17" i="1"/>
  <c r="D20" i="6"/>
  <c r="B22" i="6"/>
  <c r="B28" i="5"/>
  <c r="B17" i="7" l="1"/>
  <c r="B18" i="7" s="1"/>
  <c r="B19" i="7" s="1"/>
  <c r="B22" i="7" s="1"/>
  <c r="B23" i="7" s="1"/>
  <c r="B23" i="6"/>
  <c r="B24" i="6" s="1"/>
  <c r="C12" i="1"/>
  <c r="C22" i="7"/>
  <c r="C15" i="1" s="1"/>
  <c r="E16" i="7"/>
  <c r="E19" i="6"/>
  <c r="F12" i="5"/>
  <c r="D27" i="5"/>
  <c r="C24" i="6"/>
  <c r="C10" i="1" s="1"/>
  <c r="C9" i="1"/>
  <c r="F10" i="5"/>
  <c r="E12" i="8"/>
  <c r="D28" i="5" l="1"/>
  <c r="D22" i="6"/>
  <c r="F16" i="7"/>
  <c r="F12" i="8"/>
  <c r="E17" i="1"/>
  <c r="F17" i="1" s="1"/>
  <c r="E20" i="6"/>
  <c r="F19" i="6"/>
  <c r="B9" i="1"/>
  <c r="B10" i="1"/>
  <c r="B13" i="8"/>
  <c r="E27" i="5" l="1"/>
  <c r="F20" i="6"/>
  <c r="C13" i="8"/>
  <c r="B14" i="8"/>
  <c r="D23" i="6"/>
  <c r="D17" i="7"/>
  <c r="D13" i="8" l="1"/>
  <c r="C14" i="8"/>
  <c r="D18" i="7"/>
  <c r="D24" i="6"/>
  <c r="D10" i="1" s="1"/>
  <c r="D9" i="1"/>
  <c r="B12" i="1"/>
  <c r="E28" i="5"/>
  <c r="E22" i="6"/>
  <c r="F27" i="5"/>
  <c r="E23" i="6" l="1"/>
  <c r="F22" i="6"/>
  <c r="E17" i="7"/>
  <c r="F28" i="5"/>
  <c r="B15" i="1"/>
  <c r="D19" i="7"/>
  <c r="E13" i="8"/>
  <c r="D14" i="8"/>
  <c r="F13" i="8" l="1"/>
  <c r="E14" i="8"/>
  <c r="F14" i="8" s="1"/>
  <c r="D12" i="1"/>
  <c r="D22" i="7"/>
  <c r="B25" i="7"/>
  <c r="B19" i="1" s="1"/>
  <c r="B16" i="1"/>
  <c r="B6" i="8"/>
  <c r="B9" i="8" s="1"/>
  <c r="B16" i="8" s="1"/>
  <c r="B18" i="1" s="1"/>
  <c r="C6" i="7"/>
  <c r="C23" i="7" s="1"/>
  <c r="E18" i="7"/>
  <c r="F17" i="7"/>
  <c r="E9" i="1"/>
  <c r="F9" i="1" s="1"/>
  <c r="F10" i="1" s="1"/>
  <c r="E24" i="6"/>
  <c r="E10" i="1" s="1"/>
  <c r="F23" i="6"/>
  <c r="F24" i="6" s="1"/>
  <c r="C25" i="7" l="1"/>
  <c r="C19" i="1" s="1"/>
  <c r="C16" i="1"/>
  <c r="C6" i="8"/>
  <c r="C9" i="8" s="1"/>
  <c r="C16" i="8" s="1"/>
  <c r="C18" i="1" s="1"/>
  <c r="D6" i="7"/>
  <c r="D23" i="7" s="1"/>
  <c r="E19" i="7"/>
  <c r="F18" i="7"/>
  <c r="D15" i="1"/>
  <c r="D6" i="8" l="1"/>
  <c r="D9" i="8" s="1"/>
  <c r="D16" i="8" s="1"/>
  <c r="D18" i="1" s="1"/>
  <c r="E6" i="7"/>
  <c r="D25" i="7"/>
  <c r="D19" i="1" s="1"/>
  <c r="D16" i="1"/>
  <c r="E12" i="1"/>
  <c r="F12" i="1" s="1"/>
  <c r="E22" i="7"/>
  <c r="F19" i="7"/>
  <c r="E23" i="7" l="1"/>
  <c r="E15" i="1"/>
  <c r="F15" i="1" s="1"/>
  <c r="F22" i="7"/>
  <c r="E6" i="8" l="1"/>
  <c r="E16" i="1"/>
  <c r="F16" i="1" s="1"/>
  <c r="E25" i="7"/>
  <c r="F23" i="7"/>
  <c r="E19" i="1" l="1"/>
  <c r="F19" i="1" s="1"/>
  <c r="F25" i="7"/>
  <c r="F6" i="8"/>
  <c r="E9" i="8"/>
  <c r="E16" i="8" l="1"/>
  <c r="F9" i="8"/>
  <c r="F16" i="8" l="1"/>
  <c r="E18" i="1"/>
  <c r="F18" i="1" s="1"/>
</calcChain>
</file>

<file path=xl/sharedStrings.xml><?xml version="1.0" encoding="utf-8"?>
<sst xmlns="http://schemas.openxmlformats.org/spreadsheetml/2006/main" count="243" uniqueCount="186">
  <si>
    <t>ИТОГ | QUICKCAPS SKILLS</t>
  </si>
  <si>
    <t>Учебный пример • условные цифры • рубли без НДС • 4 квартала • изменяйте синие ячейки листа «Вводные»</t>
  </si>
  <si>
    <t>Показатель</t>
  </si>
  <si>
    <t>I квартал</t>
  </si>
  <si>
    <t>II квартал</t>
  </si>
  <si>
    <t>III квартал</t>
  </si>
  <si>
    <t>IV квартал</t>
  </si>
  <si>
    <t>ГОД</t>
  </si>
  <si>
    <t>МАСТЕР-БЮДЖЕТ — ВСЕ ФИНАНСОВЫЕ ФОРМЫ В ОДНОМ ОКНЕ</t>
  </si>
  <si>
    <t>Выручка</t>
  </si>
  <si>
    <t>Операционные расходы до амортизации</t>
  </si>
  <si>
    <t>EBITDA</t>
  </si>
  <si>
    <t>Чистая прибыль</t>
  </si>
  <si>
    <t>Рентабельность по чистой прибыли</t>
  </si>
  <si>
    <t>Операционный денежный поток</t>
  </si>
  <si>
    <t>Инвестиционный поток (CAPEX)</t>
  </si>
  <si>
    <t>Финансовый поток</t>
  </si>
  <si>
    <t>Изменение денежных средств</t>
  </si>
  <si>
    <t>Деньги на конец периода</t>
  </si>
  <si>
    <t>Кредит на конец периода</t>
  </si>
  <si>
    <t>ПРОВЕРКА БАЛАНСА (= 0)</t>
  </si>
  <si>
    <t>ПРОВЕРКА ДЕНЕГ (= 0)</t>
  </si>
  <si>
    <t>ПЛАНЫ → РЕСУРСЫ → ЗАТРАТЫ → БДР / БДДС → БАЛАНС</t>
  </si>
  <si>
    <t>Модель демонстрирует сведение бюджетов, а не является прогнозом реального предприятия. НДС, запасы, дивиденды и перенос налоговых убытков исключены.</t>
  </si>
  <si>
    <t>ИНСТРУКЦИЯ | QUICKCAPS SKILLS</t>
  </si>
  <si>
    <t>ПОСЛЕДОВАТЕЛЬНОСТЬ РАСЧЁТА</t>
  </si>
  <si>
    <t>1. «Вводные»</t>
  </si>
  <si>
    <t>Только синие числа на жёлтом фоне — значения для сценария. Все суммы условные; измените объём продаж, цену, CAPEX, кредит и т.д.</t>
  </si>
  <si>
    <t>2. «Операционные»</t>
  </si>
  <si>
    <t>Из натурального объёма и нормативов формируются выручка и ресурсные бюджеты: материалы, труд, прочие расходы.</t>
  </si>
  <si>
    <t>3. «Финансирование»</t>
  </si>
  <si>
    <t>Учитываются CAPEX, кредит, проценты, амортизация, дебиторская/кредиторская задолженность и налог.</t>
  </si>
  <si>
    <t>4. «БДР»</t>
  </si>
  <si>
    <t>Показывает результат по начислению: выручка минус расходы, амортизация, проценты, налог = чистая прибыль.</t>
  </si>
  <si>
    <t>5. «БДДС»</t>
  </si>
  <si>
    <t>Показывает фактические денежные потоки: поступления и выплаты, вложения и кредитные операции.</t>
  </si>
  <si>
    <t>6. «Баланс»</t>
  </si>
  <si>
    <t>Деньги + дебиторка + ОС = кредиторка + кредитный долг + собственный капитал.</t>
  </si>
  <si>
    <t>7. «ИТОГ»</t>
  </si>
  <si>
    <t>Сводная страница мастер-бюджета — год и 4 квартала, включая контроль нулевых расхождений.</t>
  </si>
  <si>
    <t>ВАЖНО О МЕТОДИКЕ</t>
  </si>
  <si>
    <t>Продажи равны выпуску; НДС, запасы продукции, материалы на складе, дивиденды, перенос убытков отсутствуют. CAPEX капитализируется, не включается в расходы БДР целиком.</t>
  </si>
  <si>
    <t>КАК ПРОВЕРИТЬ</t>
  </si>
  <si>
    <t>ИТОГ!18 и ИТОГ!19 во всех кварталах и за год должны быть равны 0. При отрицательных деньгах см. БДДС, а не исправляйте баланс вручную.</t>
  </si>
  <si>
    <t>ИСТОЧНИК ЧИСЕЛ</t>
  </si>
  <si>
    <t>Все числовые вводные придуманы специально для учебного примера. Это не бюджет пользователя и не рыночная оценка.</t>
  </si>
  <si>
    <t>ВВОДНЫЕ | QUICKCAPS SKILLS</t>
  </si>
  <si>
    <t>Источник и допущения: все цифры придуманы для учебного примера</t>
  </si>
  <si>
    <t>01  ОПЕРАЦИОННЫЕ ДРАЙВЕРЫ И ПАРАМЕТРЫ</t>
  </si>
  <si>
    <t>Объём продаж / выпуска, ед.</t>
  </si>
  <si>
    <t>Пример: продажи равны выпуску; запасов продукции и материалов нет.</t>
  </si>
  <si>
    <t>Цена продажи, руб./ед.</t>
  </si>
  <si>
    <t>Руб./ед.; постоянная цена во всех кварталах — условное допущение.</t>
  </si>
  <si>
    <t>Материалы, руб./ед.</t>
  </si>
  <si>
    <t>Покупки материалов равны их расходованию в данном квартале.</t>
  </si>
  <si>
    <t>Оплата труда, руб./ед.</t>
  </si>
  <si>
    <t>Оплата труда выплачивается в том же квартале.</t>
  </si>
  <si>
    <t>Прочие переменные, руб./ед.</t>
  </si>
  <si>
    <t>Прочие переменные расходы выплачиваются в квартале возникновения.</t>
  </si>
  <si>
    <t>Постоянные производственные, руб.</t>
  </si>
  <si>
    <t>Постоянные расходы оплачиваются в квартале возникновения.</t>
  </si>
  <si>
    <t>Административные расходы, руб.</t>
  </si>
  <si>
    <t>Управленческие расходы оплачиваются в квартале возникновения.</t>
  </si>
  <si>
    <t>CAPEX (покупка ОС), руб.</t>
  </si>
  <si>
    <t>Основные средства приобретаются и оплачиваются в указанном квартале.</t>
  </si>
  <si>
    <t>Новые кредиты, руб.</t>
  </si>
  <si>
    <t>Кредит привлекается в конце квартала; проценты по новому долгу — со следующего.</t>
  </si>
  <si>
    <t>Погашение основного долга, руб.</t>
  </si>
  <si>
    <t>Погашение долга в конце квартала.</t>
  </si>
  <si>
    <t>Дебиторка на конец, % квартальной выручки</t>
  </si>
  <si>
    <t>Модель дебиторки на конец квартала: % выручки этого квартала.</t>
  </si>
  <si>
    <t>Кредиторка на конец, % стоимости материалов</t>
  </si>
  <si>
    <t>Модель кредиторки на конец квартала: % материальных затрат квартала.</t>
  </si>
  <si>
    <t>Налог на прибыль, %</t>
  </si>
  <si>
    <t>Налог рассчитывается и оплачивается в квартале, убытки не переносятся.</t>
  </si>
  <si>
    <t>Годовая ставка по кредиту, %</t>
  </si>
  <si>
    <t>Проценты за квартал: начальный основной долг × годовая ставка / 4.</t>
  </si>
  <si>
    <t>Амортизация старых ОС, руб./квартал</t>
  </si>
  <si>
    <t>Амортизация имеющихся ОС: условно 60 тыс. руб. за квартал.</t>
  </si>
  <si>
    <t>Срок амортизации новых ОС, кварталов</t>
  </si>
  <si>
    <t>Новые ОС амортизируются линейно начиная с квартала приобретения.</t>
  </si>
  <si>
    <t>Количество кварталов в году</t>
  </si>
  <si>
    <t>В 1 году 4 квартала.</t>
  </si>
  <si>
    <t>02  НАЧАЛЬНЫЙ БАЛАНС (НА НАЧАЛО I КВАРТАЛА)</t>
  </si>
  <si>
    <t>Денежные средства</t>
  </si>
  <si>
    <t>Условные остатки до начала прогнозного года, руб.</t>
  </si>
  <si>
    <t>Дебиторская задолженность</t>
  </si>
  <si>
    <t>Остаточная стоимость ОС</t>
  </si>
  <si>
    <t>Кредиторская задолженность</t>
  </si>
  <si>
    <t>Основной долг по кредитам</t>
  </si>
  <si>
    <t>Начальный собственный капитал (авто)</t>
  </si>
  <si>
    <t>Активы за вычетом кредиторки и долга, для корректного начального баланса.</t>
  </si>
  <si>
    <t>Проверка начального баланса (= 0)</t>
  </si>
  <si>
    <t>При нуле исходный баланс сходится.</t>
  </si>
  <si>
    <t>ОПЕРАЦИОННЫЕ | QUICKCAPS SKILLS</t>
  </si>
  <si>
    <t>01  ОБЪЁМЫ → РЕСУРСЫ → ДОХОДЫ / ЗАТРАТЫ</t>
  </si>
  <si>
    <t>Объём продукции, ед.</t>
  </si>
  <si>
    <t>Бюджет продаж / выручка</t>
  </si>
  <si>
    <t>Продано столько же, сколько произведено. НДС не моделируется.</t>
  </si>
  <si>
    <t>Бюджет материалов / закупок</t>
  </si>
  <si>
    <t>Драйвер: количество единиц × норматив материалов.</t>
  </si>
  <si>
    <t>Бюджет персонала / оплата труда</t>
  </si>
  <si>
    <t>Прочие переменные затраты</t>
  </si>
  <si>
    <t>Постоянные производственные затраты</t>
  </si>
  <si>
    <t>Бюджет административных расходов</t>
  </si>
  <si>
    <t>ИТОГО денежные операционные затраты</t>
  </si>
  <si>
    <t>Без амортизации, процентов и налога; также без CAPEX.</t>
  </si>
  <si>
    <t>EBITDA: выручка минус денежные затраты</t>
  </si>
  <si>
    <t>Прибыль до процентов, налога и амортизации (EBITDA).</t>
  </si>
  <si>
    <t>ФИНАНСИРОВАНИЕ | QUICKCAPS SKILLS</t>
  </si>
  <si>
    <t>02  ИНВЕСТИЦИИ, ДОЛГ, АМОРТИЗАЦИЯ И ОБОРОТНЫЙ КАПИТАЛ</t>
  </si>
  <si>
    <t>Инвестиционный бюджет / CAPEX</t>
  </si>
  <si>
    <t>Привлечение кредитов</t>
  </si>
  <si>
    <t>Погашение основного долга</t>
  </si>
  <si>
    <t>Кредит на начало квартала</t>
  </si>
  <si>
    <t>Проценты начисляются на долг НА НАЧАЛО квартала.</t>
  </si>
  <si>
    <t>Кредит на конец квартала</t>
  </si>
  <si>
    <t>Процентная ставка годовая</t>
  </si>
  <si>
    <t>Проценты к уплате</t>
  </si>
  <si>
    <t>ОС на начало (остаточная стоимость)</t>
  </si>
  <si>
    <t>Амортизация ранее имевшихся ОС</t>
  </si>
  <si>
    <t>Амортизация новых ОС</t>
  </si>
  <si>
    <t>Новые ОС амортизируются с квартала покупки, срок = 20 кварталов.</t>
  </si>
  <si>
    <t>Итого амортизация</t>
  </si>
  <si>
    <t>ОС на конец (остаточная стоимость)</t>
  </si>
  <si>
    <t>Дебиторская задолженность на начало</t>
  </si>
  <si>
    <t>Дебиторская задолженность на конец</t>
  </si>
  <si>
    <t>Поступления от покупателей</t>
  </si>
  <si>
    <t>Дебиторка: начальная + выручка − конечная.</t>
  </si>
  <si>
    <t>Кредиторка поставщикам на начало</t>
  </si>
  <si>
    <t>Кредиторка поставщикам на конец</t>
  </si>
  <si>
    <t>Оплата материалов поставщикам</t>
  </si>
  <si>
    <t>Кредиторка: начальная + материальные затраты − конечная.</t>
  </si>
  <si>
    <t>Начисленный налог на прибыль</t>
  </si>
  <si>
    <t>Налог на положительную прибыль до налога, уплата в том же квартале.</t>
  </si>
  <si>
    <t>Уплаченный налог на прибыль</t>
  </si>
  <si>
    <t>БДР | QUICKCAPS SKILLS</t>
  </si>
  <si>
    <t>03  БЮДЖЕТ ДОХОДОВ И РАСХОДОВ (НАЧИСЛЕНИЕ)</t>
  </si>
  <si>
    <t>Материалы</t>
  </si>
  <si>
    <t>Оплата труда</t>
  </si>
  <si>
    <t>Прочие переменные</t>
  </si>
  <si>
    <t>Постоянные производственные</t>
  </si>
  <si>
    <t>Административные расходы</t>
  </si>
  <si>
    <t>ИТОГО денежные операционные расходы</t>
  </si>
  <si>
    <t>Расходы текущей деятельности без амортизации и процентов.</t>
  </si>
  <si>
    <t>EBITDA = выручка − денежные операционные расходы.</t>
  </si>
  <si>
    <t>Амортизация</t>
  </si>
  <si>
    <t>Амортизация уменьшает прибыль, но НЕ является платежом.</t>
  </si>
  <si>
    <t>Операционная прибыль (EBIT)</t>
  </si>
  <si>
    <t>Проценты по кредиту</t>
  </si>
  <si>
    <t>Прибыль до налога (EBT)</t>
  </si>
  <si>
    <t>Налог на прибыль</t>
  </si>
  <si>
    <t>ЧИСТАЯ ПРИБЫЛЬ</t>
  </si>
  <si>
    <t>Чистая прибыль переносится в капитал прогнозного баланса.</t>
  </si>
  <si>
    <t>Чистая рентабельность, %</t>
  </si>
  <si>
    <t>БДДС | QUICKCAPS SKILLS</t>
  </si>
  <si>
    <t>04  БЮДЖЕТ ДВИЖЕНИЯ ДЕНЕЖНЫХ СРЕДСТВ</t>
  </si>
  <si>
    <t>Деньги на начало квартала</t>
  </si>
  <si>
    <t>Баланс денег не суммируется: год = деньги на НАЧАЛО I кв.</t>
  </si>
  <si>
    <t>ИТОГО поступления</t>
  </si>
  <si>
    <t>Оплата поставщикам материалов</t>
  </si>
  <si>
    <t>Оплата переменных расходов</t>
  </si>
  <si>
    <t>Оплата постоянных расходов</t>
  </si>
  <si>
    <t>Оплата административных расходов</t>
  </si>
  <si>
    <t>Выплаченные проценты</t>
  </si>
  <si>
    <t>ИТОГО операционные выплаты</t>
  </si>
  <si>
    <t>ДЕНЕЖНЫЙ ПОТОК ОТ ДЕЯТЕЛЬНОСТИ</t>
  </si>
  <si>
    <t>Операционный поток с учётом дебиторки, кредиторки и налога.</t>
  </si>
  <si>
    <t>CAPEX — денежный расход, не расход в БДР.</t>
  </si>
  <si>
    <t>Финансовый поток (кредиты − погашение)</t>
  </si>
  <si>
    <t>ИЗМЕНЕНИЕ ДЕНЕГ (ЧИСТЫЙ ПОТОК)</t>
  </si>
  <si>
    <t>ДЕНЬГИ НА КОНЕЦ КВАРТАЛА</t>
  </si>
  <si>
    <t>Год = остаток денег на конец IV квартала.</t>
  </si>
  <si>
    <t>Контроль движения денег (= 0)</t>
  </si>
  <si>
    <t>При нуле движение денег сходится.</t>
  </si>
  <si>
    <t>БАЛАНС | QUICKCAPS SKILLS</t>
  </si>
  <si>
    <t>05  ПРОГНОЗНЫЙ БАЛАНС (НА КОНЕЦ КАЖДОГО КВАРТАЛА)</t>
  </si>
  <si>
    <t>Деньги из БДДС.</t>
  </si>
  <si>
    <t>ОС по остаточной стоимости</t>
  </si>
  <si>
    <t>Старые и новые ОС за вычетом амортизации.</t>
  </si>
  <si>
    <t>АКТИВЫ, ИТОГО</t>
  </si>
  <si>
    <t>Кредитный долг</t>
  </si>
  <si>
    <t>Собственный капитал</t>
  </si>
  <si>
    <t>Начальный капитал + накопленная чистая прибыль, дивидендов нет.</t>
  </si>
  <si>
    <t>ПАССИВЫ + КАПИТАЛ, ИТОГО</t>
  </si>
  <si>
    <t>АКТИВЫ − ПАССИВЫ − КАПИТАЛ; должно быть ноль.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</si>
</sst>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;\-"/>
    <numFmt numFmtId="165" formatCode="0.0%;[Red]\(0.0%\);\-"/>
  </numFmts>
  <fonts count="16">
    <font>
      <sz val="11"/>
      <name val="Carlito"/>
    </font>
    <font>
      <sz val="10"/>
      <name val="Aptos"/>
    </font>
    <font>
      <b/>
      <sz val="16"/>
      <color rgb="FFFFFDF8"/>
      <name val="Aptos"/>
    </font>
    <font>
      <i/>
      <sz val="10"/>
      <color rgb="FF173F38"/>
      <name val="Aptos"/>
    </font>
    <font>
      <b/>
      <sz val="10"/>
      <color rgb="FF173F38"/>
      <name val="Aptos"/>
    </font>
    <font>
      <b/>
      <sz val="10"/>
      <name val="Aptos"/>
    </font>
    <font>
      <b/>
      <sz val="10"/>
      <color rgb="FFFFFDF8"/>
      <name val="Aptos"/>
    </font>
    <font>
      <sz val="10"/>
      <color rgb="FF0000FF"/>
      <name val="Aptos"/>
    </font>
    <font>
      <sz val="10"/>
      <color rgb="FF61736B"/>
      <name val="Aptos"/>
    </font>
    <font>
      <sz val="10"/>
      <color rgb="FF008000"/>
      <name val="Aptos"/>
    </font>
    <font>
      <sz val="10"/>
      <color rgb="FF000000"/>
      <name val="Aptos"/>
    </font>
    <font>
      <b/>
      <sz val="12"/>
      <color rgb="FFFFFDF8"/>
      <name val="Aptos"/>
    </font>
    <font>
      <b/>
      <sz val="10"/>
      <color rgb="FF61736B"/>
      <name val="Aptos"/>
    </font>
    <font>
      <sz val="11"/>
      <name val="Carlito"/>
    </font>
    <font>
      <b/>
      <sz val="10"/>
      <color rgb="FF173F38"/>
      <name val="Aptos"/>
      <family val="2"/>
    </font>
    <font>
      <b/>
      <sz val="10"/>
      <color rgb="FF61736B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173F38"/>
      </patternFill>
    </fill>
    <fill>
      <patternFill patternType="solid">
        <fgColor rgb="FFF7F3ED"/>
      </patternFill>
    </fill>
    <fill>
      <patternFill patternType="solid">
        <fgColor rgb="FFE6EFE9"/>
      </patternFill>
    </fill>
    <fill>
      <patternFill patternType="solid">
        <fgColor rgb="FFE9F3EC"/>
      </patternFill>
    </fill>
    <fill>
      <patternFill patternType="solid">
        <fgColor rgb="FFFFF6D7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0">
    <xf numFmtId="0" fontId="0" fillId="0" borderId="0" xfId="0"/>
    <xf numFmtId="0" fontId="1" fillId="0" borderId="0" xfId="1" applyFont="1"/>
    <xf numFmtId="0" fontId="4" fillId="4" borderId="0" xfId="1" applyFont="1" applyFill="1" applyAlignment="1">
      <alignment horizontal="right"/>
    </xf>
    <xf numFmtId="164" fontId="1" fillId="0" borderId="0" xfId="1" applyNumberFormat="1" applyFont="1" applyAlignment="1">
      <alignment horizontal="right"/>
    </xf>
    <xf numFmtId="164" fontId="5" fillId="5" borderId="0" xfId="1" applyNumberFormat="1" applyFont="1" applyFill="1" applyAlignment="1">
      <alignment horizontal="right"/>
    </xf>
    <xf numFmtId="164" fontId="7" fillId="6" borderId="0" xfId="1" applyNumberFormat="1" applyFont="1" applyFill="1" applyAlignment="1">
      <alignment horizontal="right"/>
    </xf>
    <xf numFmtId="164" fontId="4" fillId="4" borderId="0" xfId="1" applyNumberFormat="1" applyFont="1" applyFill="1" applyAlignment="1">
      <alignment horizontal="right"/>
    </xf>
    <xf numFmtId="0" fontId="8" fillId="0" borderId="0" xfId="1" applyFont="1" applyAlignment="1">
      <alignment wrapText="1"/>
    </xf>
    <xf numFmtId="0" fontId="4" fillId="4" borderId="0" xfId="1" applyFont="1" applyFill="1" applyAlignment="1">
      <alignment wrapText="1"/>
    </xf>
    <xf numFmtId="0" fontId="4" fillId="0" borderId="0" xfId="1" applyFont="1"/>
    <xf numFmtId="0" fontId="1" fillId="0" borderId="0" xfId="1" applyFont="1" applyAlignment="1">
      <alignment wrapText="1"/>
    </xf>
    <xf numFmtId="0" fontId="4" fillId="4" borderId="0" xfId="1" applyFont="1" applyFill="1" applyAlignment="1">
      <alignment horizontal="left" wrapText="1"/>
    </xf>
    <xf numFmtId="0" fontId="2" fillId="2" borderId="0" xfId="1" applyFont="1" applyFill="1"/>
    <xf numFmtId="0" fontId="3" fillId="3" borderId="0" xfId="1" applyFont="1" applyFill="1"/>
    <xf numFmtId="0" fontId="6" fillId="2" borderId="0" xfId="1" applyFont="1" applyFill="1" applyAlignment="1">
      <alignment wrapText="1"/>
    </xf>
    <xf numFmtId="164" fontId="6" fillId="2" borderId="0" xfId="1" applyNumberFormat="1" applyFont="1" applyFill="1" applyAlignment="1">
      <alignment horizontal="right"/>
    </xf>
    <xf numFmtId="0" fontId="6" fillId="2" borderId="0" xfId="1" applyFont="1" applyFill="1"/>
    <xf numFmtId="0" fontId="11" fillId="2" borderId="0" xfId="1" applyFont="1" applyFill="1" applyAlignment="1">
      <alignment wrapText="1"/>
    </xf>
    <xf numFmtId="164" fontId="11" fillId="2" borderId="0" xfId="1" applyNumberFormat="1" applyFont="1" applyFill="1" applyAlignment="1">
      <alignment horizontal="right"/>
    </xf>
    <xf numFmtId="0" fontId="11" fillId="2" borderId="0" xfId="1" applyFont="1" applyFill="1"/>
    <xf numFmtId="0" fontId="8" fillId="3" borderId="0" xfId="1" applyFont="1" applyFill="1" applyAlignment="1">
      <alignment wrapText="1"/>
    </xf>
    <xf numFmtId="164" fontId="8" fillId="3" borderId="0" xfId="1" applyNumberFormat="1" applyFont="1" applyFill="1" applyAlignment="1">
      <alignment horizontal="right" wrapText="1"/>
    </xf>
    <xf numFmtId="164" fontId="12" fillId="3" borderId="0" xfId="1" applyNumberFormat="1" applyFont="1" applyFill="1" applyAlignment="1">
      <alignment horizontal="right" wrapText="1"/>
    </xf>
    <xf numFmtId="0" fontId="1" fillId="0" borderId="1" xfId="1" applyFont="1" applyBorder="1" applyAlignment="1">
      <alignment wrapText="1"/>
    </xf>
    <xf numFmtId="164" fontId="7" fillId="6" borderId="1" xfId="1" applyNumberFormat="1" applyFont="1" applyFill="1" applyBorder="1" applyAlignment="1">
      <alignment horizontal="right"/>
    </xf>
    <xf numFmtId="164" fontId="5" fillId="5" borderId="1" xfId="1" applyNumberFormat="1" applyFont="1" applyFill="1" applyBorder="1" applyAlignment="1">
      <alignment horizontal="right"/>
    </xf>
    <xf numFmtId="165" fontId="7" fillId="6" borderId="1" xfId="1" applyNumberFormat="1" applyFont="1" applyFill="1" applyBorder="1" applyAlignment="1">
      <alignment horizontal="right"/>
    </xf>
    <xf numFmtId="0" fontId="8" fillId="0" borderId="1" xfId="1" applyFont="1" applyBorder="1" applyAlignment="1">
      <alignment wrapText="1"/>
    </xf>
    <xf numFmtId="0" fontId="8" fillId="0" borderId="0" xfId="1" applyFont="1" applyAlignment="1">
      <alignment vertical="top" wrapText="1"/>
    </xf>
    <xf numFmtId="0" fontId="8" fillId="0" borderId="0" xfId="1" applyFont="1" applyAlignment="1">
      <alignment horizontal="left" vertical="top" wrapText="1"/>
    </xf>
    <xf numFmtId="0" fontId="14" fillId="7" borderId="0" xfId="1" applyFont="1" applyFill="1" applyAlignment="1">
      <alignment vertical="center"/>
    </xf>
    <xf numFmtId="0" fontId="15" fillId="7" borderId="0" xfId="1" applyFont="1" applyFill="1" applyAlignment="1">
      <alignment vertical="center" wrapText="1"/>
    </xf>
    <xf numFmtId="164" fontId="9" fillId="0" borderId="1" xfId="1" applyNumberFormat="1" applyFont="1" applyBorder="1" applyAlignment="1">
      <alignment horizontal="right"/>
    </xf>
    <xf numFmtId="0" fontId="4" fillId="4" borderId="1" xfId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right"/>
    </xf>
    <xf numFmtId="165" fontId="9" fillId="0" borderId="1" xfId="1" applyNumberFormat="1" applyFont="1" applyBorder="1" applyAlignment="1">
      <alignment horizontal="right"/>
    </xf>
    <xf numFmtId="165" fontId="5" fillId="5" borderId="1" xfId="1" applyNumberFormat="1" applyFont="1" applyFill="1" applyBorder="1" applyAlignment="1">
      <alignment horizontal="right"/>
    </xf>
    <xf numFmtId="164" fontId="1" fillId="0" borderId="1" xfId="1" applyNumberFormat="1" applyFont="1" applyBorder="1" applyAlignment="1">
      <alignment horizontal="right"/>
    </xf>
    <xf numFmtId="164" fontId="10" fillId="0" borderId="1" xfId="1" applyNumberFormat="1" applyFont="1" applyBorder="1" applyAlignment="1">
      <alignment horizontal="right"/>
    </xf>
    <xf numFmtId="165" fontId="10" fillId="0" borderId="1" xfId="1" applyNumberFormat="1" applyFont="1" applyBorder="1" applyAlignment="1">
      <alignment horizontal="right"/>
    </xf>
  </cellXfs>
  <cellStyles count="2">
    <cellStyle name="Normal" xfId="1" xr:uid="{00000000-0005-0000-0000-000000000000}"/>
    <cellStyle name="Обычный" xfId="0" builtinId="0"/>
  </cellStyles>
  <dxfs count="4">
    <dxf>
      <font>
        <b/>
        <color rgb="FFB91C1C"/>
      </font>
      <fill>
        <patternFill patternType="solid">
          <bgColor rgb="FFFFE1DD"/>
        </patternFill>
      </fill>
    </dxf>
    <dxf>
      <font>
        <b/>
        <color rgb="FFB91C1C"/>
      </font>
      <fill>
        <patternFill patternType="solid">
          <bgColor rgb="FFFFE1DD"/>
        </patternFill>
      </fill>
    </dxf>
    <dxf>
      <font>
        <b/>
        <color rgb="FFB91C1C"/>
      </font>
      <fill>
        <patternFill patternType="solid">
          <bgColor rgb="FFFFE1DD"/>
        </patternFill>
      </fill>
    </dxf>
    <dxf>
      <font>
        <b/>
        <color rgb="FFB91C1C"/>
      </font>
      <fill>
        <patternFill patternType="solid">
          <bgColor rgb="FFFFE1D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zoomScale="80" zoomScaleNormal="80" workbookViewId="0">
      <selection activeCell="A24" sqref="A24:G24"/>
    </sheetView>
  </sheetViews>
  <sheetFormatPr defaultRowHeight="13.8"/>
  <cols>
    <col min="1" max="1" width="43" customWidth="1"/>
    <col min="2" max="6" width="19" customWidth="1"/>
    <col min="7" max="7" width="33" customWidth="1"/>
  </cols>
  <sheetData>
    <row r="1" spans="1:7" ht="30.45" customHeight="1">
      <c r="A1" s="12" t="s">
        <v>0</v>
      </c>
      <c r="B1" s="12"/>
      <c r="C1" s="12"/>
      <c r="D1" s="12"/>
      <c r="E1" s="12"/>
      <c r="F1" s="12"/>
      <c r="G1" s="12"/>
    </row>
    <row r="2" spans="1:7" ht="24.75" customHeight="1">
      <c r="A2" s="13" t="s">
        <v>1</v>
      </c>
      <c r="B2" s="13"/>
      <c r="C2" s="13"/>
      <c r="D2" s="13"/>
      <c r="E2" s="13"/>
      <c r="F2" s="13"/>
      <c r="G2" s="13"/>
    </row>
    <row r="3" spans="1:7" ht="16.8" customHeight="1">
      <c r="A3" s="1"/>
      <c r="B3" s="1"/>
      <c r="C3" s="1"/>
      <c r="D3" s="1"/>
      <c r="E3" s="1"/>
      <c r="F3" s="1"/>
      <c r="G3" s="1"/>
    </row>
    <row r="4" spans="1:7" ht="24" customHeight="1">
      <c r="A4" s="1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1"/>
    </row>
    <row r="5" spans="1:7" ht="21.6" customHeight="1">
      <c r="A5" s="14" t="s">
        <v>8</v>
      </c>
      <c r="B5" s="15"/>
      <c r="C5" s="15"/>
      <c r="D5" s="15"/>
      <c r="E5" s="15"/>
      <c r="F5" s="15"/>
      <c r="G5" s="16"/>
    </row>
    <row r="6" spans="1:7" ht="16.8" customHeight="1">
      <c r="A6" s="23" t="s">
        <v>9</v>
      </c>
      <c r="B6" s="32">
        <f>БДР!B6</f>
        <v>1500000</v>
      </c>
      <c r="C6" s="32">
        <f>БДР!C6</f>
        <v>1650000</v>
      </c>
      <c r="D6" s="32">
        <f>БДР!D6</f>
        <v>1800000</v>
      </c>
      <c r="E6" s="32">
        <f>БДР!E6</f>
        <v>1950000</v>
      </c>
      <c r="F6" s="25">
        <f>SUM(B6:E6)</f>
        <v>6900000</v>
      </c>
      <c r="G6" s="1"/>
    </row>
    <row r="7" spans="1:7" ht="16.8" customHeight="1">
      <c r="A7" s="23" t="s">
        <v>10</v>
      </c>
      <c r="B7" s="32">
        <f>БДР!B13</f>
        <v>1135000</v>
      </c>
      <c r="C7" s="32">
        <f>БДР!C13</f>
        <v>1224000</v>
      </c>
      <c r="D7" s="32">
        <f>БДР!D13</f>
        <v>1313000</v>
      </c>
      <c r="E7" s="32">
        <f>БДР!E13</f>
        <v>1402000</v>
      </c>
      <c r="F7" s="25">
        <f>SUM(B7:E7)</f>
        <v>5074000</v>
      </c>
      <c r="G7" s="1"/>
    </row>
    <row r="8" spans="1:7" ht="20.85" customHeight="1">
      <c r="A8" s="33" t="s">
        <v>11</v>
      </c>
      <c r="B8" s="34">
        <f>БДР!B15</f>
        <v>365000</v>
      </c>
      <c r="C8" s="34">
        <f>БДР!C15</f>
        <v>426000</v>
      </c>
      <c r="D8" s="34">
        <f>БДР!D15</f>
        <v>487000</v>
      </c>
      <c r="E8" s="34">
        <f>БДР!E15</f>
        <v>548000</v>
      </c>
      <c r="F8" s="34">
        <f>SUM(B8:E8)</f>
        <v>1826000</v>
      </c>
      <c r="G8" s="1"/>
    </row>
    <row r="9" spans="1:7" ht="20.85" customHeight="1">
      <c r="A9" s="33" t="s">
        <v>12</v>
      </c>
      <c r="B9" s="34">
        <f>БДР!B23</f>
        <v>230000</v>
      </c>
      <c r="C9" s="34">
        <f>БДР!C23</f>
        <v>275800</v>
      </c>
      <c r="D9" s="34">
        <f>БДР!D23</f>
        <v>320600</v>
      </c>
      <c r="E9" s="34">
        <f>БДР!E23</f>
        <v>369400</v>
      </c>
      <c r="F9" s="34">
        <f>SUM(B9:E9)</f>
        <v>1195800</v>
      </c>
      <c r="G9" s="1"/>
    </row>
    <row r="10" spans="1:7" ht="16.8" customHeight="1">
      <c r="A10" s="23" t="s">
        <v>13</v>
      </c>
      <c r="B10" s="35">
        <f>БДР!B24</f>
        <v>0.15333333333333332</v>
      </c>
      <c r="C10" s="35">
        <f>БДР!C24</f>
        <v>0.16715151515151516</v>
      </c>
      <c r="D10" s="35">
        <f>БДР!D24</f>
        <v>0.17811111111111111</v>
      </c>
      <c r="E10" s="35">
        <f>БДР!E24</f>
        <v>0.18943589743589745</v>
      </c>
      <c r="F10" s="36">
        <f>IFERROR(F9/F6,0)</f>
        <v>0.17330434782608695</v>
      </c>
      <c r="G10" s="1"/>
    </row>
    <row r="11" spans="1:7" ht="16.8" customHeight="1">
      <c r="A11" s="23"/>
      <c r="B11" s="37"/>
      <c r="C11" s="37"/>
      <c r="D11" s="37"/>
      <c r="E11" s="37"/>
      <c r="F11" s="25"/>
      <c r="G11" s="1"/>
    </row>
    <row r="12" spans="1:7" ht="16.8" customHeight="1">
      <c r="A12" s="23" t="s">
        <v>14</v>
      </c>
      <c r="B12" s="32">
        <f>БДДС!B19</f>
        <v>102500</v>
      </c>
      <c r="C12" s="32">
        <f>БДДС!C19</f>
        <v>324050</v>
      </c>
      <c r="D12" s="32">
        <f>БДДС!D19</f>
        <v>373850</v>
      </c>
      <c r="E12" s="32">
        <f>БДДС!E19</f>
        <v>422650</v>
      </c>
      <c r="F12" s="25">
        <f>SUM(B12:E12)</f>
        <v>1223050</v>
      </c>
      <c r="G12" s="1"/>
    </row>
    <row r="13" spans="1:7" ht="16.8" customHeight="1">
      <c r="A13" s="23" t="s">
        <v>15</v>
      </c>
      <c r="B13" s="32">
        <f>БДДС!B20</f>
        <v>-200000</v>
      </c>
      <c r="C13" s="32">
        <f>БДДС!C20</f>
        <v>0</v>
      </c>
      <c r="D13" s="32">
        <f>БДДС!D20</f>
        <v>-100000</v>
      </c>
      <c r="E13" s="32">
        <f>БДДС!E20</f>
        <v>0</v>
      </c>
      <c r="F13" s="25">
        <f>SUM(B13:E13)</f>
        <v>-300000</v>
      </c>
      <c r="G13" s="1"/>
    </row>
    <row r="14" spans="1:7" ht="16.8" customHeight="1">
      <c r="A14" s="23" t="s">
        <v>16</v>
      </c>
      <c r="B14" s="32">
        <f>БДДС!B21</f>
        <v>150000</v>
      </c>
      <c r="C14" s="32">
        <f>БДДС!C21</f>
        <v>0</v>
      </c>
      <c r="D14" s="32">
        <f>БДДС!D21</f>
        <v>0</v>
      </c>
      <c r="E14" s="32">
        <f>БДДС!E21</f>
        <v>-80000</v>
      </c>
      <c r="F14" s="25">
        <f>SUM(B14:E14)</f>
        <v>70000</v>
      </c>
      <c r="G14" s="1"/>
    </row>
    <row r="15" spans="1:7" ht="20.85" customHeight="1">
      <c r="A15" s="33" t="s">
        <v>17</v>
      </c>
      <c r="B15" s="34">
        <f>БДДС!B22</f>
        <v>52500</v>
      </c>
      <c r="C15" s="34">
        <f>БДДС!C22</f>
        <v>324050</v>
      </c>
      <c r="D15" s="34">
        <f>БДДС!D22</f>
        <v>273850</v>
      </c>
      <c r="E15" s="34">
        <f>БДДС!E22</f>
        <v>342650</v>
      </c>
      <c r="F15" s="34">
        <f>SUM(B15:E15)</f>
        <v>993050</v>
      </c>
      <c r="G15" s="1"/>
    </row>
    <row r="16" spans="1:7" ht="20.85" customHeight="1">
      <c r="A16" s="33" t="s">
        <v>18</v>
      </c>
      <c r="B16" s="34">
        <f>БДДС!B23</f>
        <v>552500</v>
      </c>
      <c r="C16" s="34">
        <f>БДДС!C23</f>
        <v>876550</v>
      </c>
      <c r="D16" s="34">
        <f>БДДС!D23</f>
        <v>1150400</v>
      </c>
      <c r="E16" s="34">
        <f>БДДС!E23</f>
        <v>1493050</v>
      </c>
      <c r="F16" s="34">
        <f>E16</f>
        <v>1493050</v>
      </c>
      <c r="G16" s="1"/>
    </row>
    <row r="17" spans="1:7" ht="16.8" customHeight="1">
      <c r="A17" s="23" t="s">
        <v>19</v>
      </c>
      <c r="B17" s="32">
        <f>Баланс!B12</f>
        <v>450000</v>
      </c>
      <c r="C17" s="32">
        <f>Баланс!C12</f>
        <v>450000</v>
      </c>
      <c r="D17" s="32">
        <f>Баланс!D12</f>
        <v>450000</v>
      </c>
      <c r="E17" s="32">
        <f>Баланс!E12</f>
        <v>370000</v>
      </c>
      <c r="F17" s="25">
        <f>E17</f>
        <v>370000</v>
      </c>
      <c r="G17" s="1"/>
    </row>
    <row r="18" spans="1:7" ht="20.85" customHeight="1">
      <c r="A18" s="33" t="s">
        <v>20</v>
      </c>
      <c r="B18" s="34">
        <f>Баланс!B16</f>
        <v>0</v>
      </c>
      <c r="C18" s="34">
        <f>Баланс!C16</f>
        <v>0</v>
      </c>
      <c r="D18" s="34">
        <f>Баланс!D16</f>
        <v>0</v>
      </c>
      <c r="E18" s="34">
        <f>Баланс!E16</f>
        <v>0</v>
      </c>
      <c r="F18" s="34">
        <f>E18</f>
        <v>0</v>
      </c>
      <c r="G18" s="1"/>
    </row>
    <row r="19" spans="1:7" ht="20.85" customHeight="1">
      <c r="A19" s="33" t="s">
        <v>21</v>
      </c>
      <c r="B19" s="34">
        <f>БДДС!B25</f>
        <v>0</v>
      </c>
      <c r="C19" s="34">
        <f>БДДС!C25</f>
        <v>0</v>
      </c>
      <c r="D19" s="34">
        <f>БДДС!D25</f>
        <v>0</v>
      </c>
      <c r="E19" s="34">
        <f>БДДС!E25</f>
        <v>0</v>
      </c>
      <c r="F19" s="34">
        <f>E19</f>
        <v>0</v>
      </c>
      <c r="G19" s="1"/>
    </row>
    <row r="20" spans="1:7" ht="16.8" customHeight="1">
      <c r="A20" s="23"/>
      <c r="B20" s="37"/>
      <c r="C20" s="37"/>
      <c r="D20" s="37"/>
      <c r="E20" s="37"/>
      <c r="F20" s="25"/>
      <c r="G20" s="1"/>
    </row>
    <row r="21" spans="1:7" ht="16.8" customHeight="1">
      <c r="A21" s="23"/>
      <c r="B21" s="37"/>
      <c r="C21" s="37"/>
      <c r="D21" s="37"/>
      <c r="E21" s="37"/>
      <c r="F21" s="25"/>
      <c r="G21" s="1"/>
    </row>
    <row r="22" spans="1:7" ht="24" customHeight="1">
      <c r="A22" s="17" t="s">
        <v>22</v>
      </c>
      <c r="B22" s="18"/>
      <c r="C22" s="18"/>
      <c r="D22" s="18"/>
      <c r="E22" s="18"/>
      <c r="F22" s="18"/>
      <c r="G22" s="19"/>
    </row>
    <row r="23" spans="1:7" ht="16.8" customHeight="1">
      <c r="A23" s="10"/>
      <c r="B23" s="3"/>
      <c r="C23" s="3"/>
      <c r="D23" s="3"/>
      <c r="E23" s="3"/>
      <c r="F23" s="4"/>
      <c r="G23" s="1"/>
    </row>
    <row r="24" spans="1:7" ht="28.8" customHeight="1">
      <c r="A24" s="20" t="s">
        <v>23</v>
      </c>
      <c r="B24" s="21"/>
      <c r="C24" s="21"/>
      <c r="D24" s="21"/>
      <c r="E24" s="21"/>
      <c r="F24" s="22"/>
      <c r="G24" s="20"/>
    </row>
    <row r="25" spans="1:7" ht="16.8" customHeight="1">
      <c r="A25" s="10"/>
      <c r="B25" s="3"/>
      <c r="C25" s="3"/>
      <c r="D25" s="3"/>
      <c r="E25" s="3"/>
      <c r="F25" s="4"/>
      <c r="G25" s="1"/>
    </row>
    <row r="26" spans="1:7" ht="16.8" customHeight="1">
      <c r="A26" s="10"/>
      <c r="B26" s="3"/>
      <c r="C26" s="3"/>
      <c r="D26" s="3"/>
      <c r="E26" s="3"/>
      <c r="F26" s="4"/>
      <c r="G26" s="1"/>
    </row>
    <row r="27" spans="1:7" ht="16.8" customHeight="1">
      <c r="A27" s="10"/>
      <c r="B27" s="3"/>
      <c r="C27" s="3"/>
      <c r="D27" s="3"/>
      <c r="E27" s="3"/>
      <c r="F27" s="4"/>
      <c r="G27" s="1"/>
    </row>
    <row r="28" spans="1:7" ht="16.8" customHeight="1">
      <c r="A28" s="10"/>
      <c r="B28" s="3"/>
      <c r="C28" s="3"/>
      <c r="D28" s="3"/>
      <c r="E28" s="3"/>
      <c r="F28" s="4"/>
      <c r="G28" s="1"/>
    </row>
    <row r="29" spans="1:7" ht="16.8" customHeight="1">
      <c r="A29" s="10"/>
      <c r="B29" s="3"/>
      <c r="C29" s="3"/>
      <c r="D29" s="3"/>
      <c r="E29" s="3"/>
      <c r="F29" s="4"/>
      <c r="G29" s="1"/>
    </row>
    <row r="30" spans="1:7" ht="16.8" customHeight="1">
      <c r="A30" s="10"/>
      <c r="B30" s="3"/>
      <c r="C30" s="3"/>
      <c r="D30" s="3"/>
      <c r="E30" s="3"/>
      <c r="F30" s="4"/>
      <c r="G30" s="1"/>
    </row>
    <row r="31" spans="1:7" ht="16.8" customHeight="1">
      <c r="A31" s="10"/>
      <c r="B31" s="3"/>
      <c r="C31" s="3"/>
      <c r="D31" s="3"/>
      <c r="E31" s="3"/>
      <c r="F31" s="4"/>
      <c r="G31" s="1"/>
    </row>
    <row r="32" spans="1:7" ht="16.8" customHeight="1">
      <c r="A32" s="10"/>
      <c r="B32" s="3"/>
      <c r="C32" s="3"/>
      <c r="D32" s="3"/>
      <c r="E32" s="3"/>
      <c r="F32" s="4"/>
      <c r="G32" s="1"/>
    </row>
    <row r="33" spans="1:7" ht="16.8" customHeight="1">
      <c r="A33" s="10"/>
      <c r="B33" s="3"/>
      <c r="C33" s="3"/>
      <c r="D33" s="3"/>
      <c r="E33" s="3"/>
      <c r="F33" s="4"/>
      <c r="G33" s="1"/>
    </row>
    <row r="34" spans="1:7" ht="16.8" customHeight="1">
      <c r="A34" s="10"/>
      <c r="B34" s="3"/>
      <c r="C34" s="3"/>
      <c r="D34" s="3"/>
      <c r="E34" s="3"/>
      <c r="F34" s="4"/>
      <c r="G34" s="1"/>
    </row>
    <row r="35" spans="1:7" ht="16.8" customHeight="1">
      <c r="A35" s="10"/>
      <c r="B35" s="3"/>
      <c r="C35" s="3"/>
      <c r="D35" s="3"/>
      <c r="E35" s="3"/>
      <c r="F35" s="4"/>
      <c r="G35" s="1"/>
    </row>
    <row r="36" spans="1:7" ht="16.8" customHeight="1">
      <c r="A36" s="10"/>
      <c r="B36" s="3"/>
      <c r="C36" s="3"/>
      <c r="D36" s="3"/>
      <c r="E36" s="3"/>
      <c r="F36" s="4"/>
      <c r="G36" s="1"/>
    </row>
    <row r="37" spans="1:7" ht="16.8" customHeight="1">
      <c r="A37" s="1"/>
      <c r="B37" s="3"/>
      <c r="C37" s="3"/>
      <c r="D37" s="3"/>
      <c r="E37" s="3"/>
      <c r="F37" s="4"/>
      <c r="G37" s="1"/>
    </row>
    <row r="38" spans="1:7" ht="16.8" customHeight="1">
      <c r="A38" s="1"/>
      <c r="B38" s="3"/>
      <c r="C38" s="3"/>
      <c r="D38" s="3"/>
      <c r="E38" s="3"/>
      <c r="F38" s="4"/>
      <c r="G38" s="1"/>
    </row>
  </sheetData>
  <mergeCells count="5">
    <mergeCell ref="A1:G1"/>
    <mergeCell ref="A2:G2"/>
    <mergeCell ref="A5:G5"/>
    <mergeCell ref="A22:G22"/>
    <mergeCell ref="A24:G24"/>
  </mergeCells>
  <conditionalFormatting sqref="B18:F19">
    <cfRule type="cellIs" dxfId="3" priority="1" operator="not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zoomScale="90" zoomScaleNormal="90" workbookViewId="0">
      <selection activeCell="A11" sqref="A11"/>
    </sheetView>
  </sheetViews>
  <sheetFormatPr defaultRowHeight="13.8"/>
  <cols>
    <col min="1" max="1" width="48" customWidth="1"/>
    <col min="2" max="6" width="19" customWidth="1"/>
    <col min="7" max="7" width="60" customWidth="1"/>
  </cols>
  <sheetData>
    <row r="1" spans="1:7" ht="30.45" customHeight="1">
      <c r="A1" s="12" t="s">
        <v>24</v>
      </c>
      <c r="B1" s="12"/>
      <c r="C1" s="12"/>
      <c r="D1" s="12"/>
      <c r="E1" s="12"/>
      <c r="F1" s="12"/>
      <c r="G1" s="12"/>
    </row>
    <row r="2" spans="1:7" ht="24.75" customHeight="1">
      <c r="A2" s="13" t="s">
        <v>1</v>
      </c>
      <c r="B2" s="13"/>
      <c r="C2" s="13"/>
      <c r="D2" s="13"/>
      <c r="E2" s="13"/>
      <c r="F2" s="13"/>
      <c r="G2" s="13"/>
    </row>
    <row r="3" spans="1:7" ht="16.8" customHeight="1">
      <c r="A3" s="1"/>
      <c r="B3" s="1"/>
      <c r="C3" s="1"/>
      <c r="D3" s="1"/>
      <c r="E3" s="1"/>
      <c r="F3" s="1"/>
      <c r="G3" s="1"/>
    </row>
    <row r="4" spans="1:7" ht="21.6" customHeight="1">
      <c r="A4" s="16" t="s">
        <v>25</v>
      </c>
      <c r="B4" s="16"/>
      <c r="C4" s="16"/>
      <c r="D4" s="16"/>
      <c r="E4" s="16"/>
      <c r="F4" s="16"/>
      <c r="G4" s="16"/>
    </row>
    <row r="5" spans="1:7" ht="16.8" customHeight="1">
      <c r="A5" s="1"/>
      <c r="B5" s="1"/>
      <c r="C5" s="1"/>
      <c r="D5" s="1"/>
      <c r="E5" s="1"/>
      <c r="F5" s="1"/>
      <c r="G5" s="1"/>
    </row>
    <row r="6" spans="1:7" ht="19.2" customHeight="1">
      <c r="A6" s="9" t="s">
        <v>26</v>
      </c>
      <c r="B6" s="28" t="s">
        <v>27</v>
      </c>
      <c r="C6" s="28"/>
      <c r="D6" s="28"/>
      <c r="E6" s="28"/>
      <c r="F6" s="28"/>
      <c r="G6" s="28"/>
    </row>
    <row r="7" spans="1:7" ht="19.2" customHeight="1">
      <c r="A7" s="9" t="s">
        <v>28</v>
      </c>
      <c r="B7" s="28" t="s">
        <v>29</v>
      </c>
      <c r="C7" s="28"/>
      <c r="D7" s="28"/>
      <c r="E7" s="28"/>
      <c r="F7" s="28"/>
      <c r="G7" s="28"/>
    </row>
    <row r="8" spans="1:7" ht="19.2" customHeight="1">
      <c r="A8" s="9" t="s">
        <v>30</v>
      </c>
      <c r="B8" s="28" t="s">
        <v>31</v>
      </c>
      <c r="C8" s="28"/>
      <c r="D8" s="28"/>
      <c r="E8" s="28"/>
      <c r="F8" s="28"/>
      <c r="G8" s="28"/>
    </row>
    <row r="9" spans="1:7" ht="19.2" customHeight="1">
      <c r="A9" s="9" t="s">
        <v>32</v>
      </c>
      <c r="B9" s="29" t="s">
        <v>33</v>
      </c>
      <c r="C9" s="29"/>
      <c r="D9" s="29"/>
      <c r="E9" s="29"/>
      <c r="F9" s="29"/>
      <c r="G9" s="29"/>
    </row>
    <row r="10" spans="1:7" ht="19.2" customHeight="1">
      <c r="A10" s="9" t="s">
        <v>34</v>
      </c>
      <c r="B10" s="28" t="s">
        <v>35</v>
      </c>
      <c r="C10" s="28"/>
      <c r="D10" s="28"/>
      <c r="E10" s="28"/>
      <c r="F10" s="28"/>
      <c r="G10" s="28"/>
    </row>
    <row r="11" spans="1:7" ht="19.2" customHeight="1">
      <c r="A11" s="9" t="s">
        <v>36</v>
      </c>
      <c r="B11" s="28" t="s">
        <v>37</v>
      </c>
      <c r="C11" s="28"/>
      <c r="D11" s="28"/>
      <c r="E11" s="28"/>
      <c r="F11" s="28"/>
      <c r="G11" s="28"/>
    </row>
    <row r="12" spans="1:7" ht="19.2" customHeight="1">
      <c r="A12" s="9" t="s">
        <v>38</v>
      </c>
      <c r="B12" s="28" t="s">
        <v>39</v>
      </c>
      <c r="C12" s="28"/>
      <c r="D12" s="28"/>
      <c r="E12" s="28"/>
      <c r="F12" s="28"/>
      <c r="G12" s="28"/>
    </row>
    <row r="13" spans="1:7" ht="19.2" customHeight="1">
      <c r="A13" s="9" t="s">
        <v>40</v>
      </c>
      <c r="B13" s="28" t="s">
        <v>41</v>
      </c>
      <c r="C13" s="28"/>
      <c r="D13" s="28"/>
      <c r="E13" s="28"/>
      <c r="F13" s="28"/>
      <c r="G13" s="28"/>
    </row>
    <row r="14" spans="1:7" ht="19.2" customHeight="1">
      <c r="A14" s="9" t="s">
        <v>42</v>
      </c>
      <c r="B14" s="28" t="s">
        <v>43</v>
      </c>
      <c r="C14" s="28"/>
      <c r="D14" s="28"/>
      <c r="E14" s="28"/>
      <c r="F14" s="28"/>
      <c r="G14" s="28"/>
    </row>
    <row r="15" spans="1:7" ht="19.2" customHeight="1">
      <c r="A15" s="30" t="s">
        <v>44</v>
      </c>
      <c r="B15" s="31" t="s">
        <v>45</v>
      </c>
      <c r="C15" s="31"/>
      <c r="D15" s="31"/>
      <c r="E15" s="31"/>
      <c r="F15" s="31"/>
      <c r="G15" s="31"/>
    </row>
    <row r="16" spans="1:7" ht="16.8" customHeight="1">
      <c r="A16" s="1"/>
      <c r="B16" s="1"/>
      <c r="C16" s="1"/>
      <c r="D16" s="1"/>
      <c r="E16" s="1"/>
      <c r="F16" s="1"/>
      <c r="G16" s="1"/>
    </row>
    <row r="17" spans="1:7" ht="16.8" customHeight="1">
      <c r="A17" s="1"/>
      <c r="B17" s="1"/>
      <c r="C17" s="1"/>
      <c r="D17" s="1"/>
      <c r="E17" s="1"/>
      <c r="F17" s="1"/>
      <c r="G17" s="1"/>
    </row>
    <row r="18" spans="1:7" ht="16.8" customHeight="1">
      <c r="A18" s="1"/>
      <c r="B18" s="1"/>
      <c r="C18" s="1"/>
      <c r="D18" s="1"/>
      <c r="E18" s="1"/>
      <c r="F18" s="1"/>
      <c r="G18" s="1"/>
    </row>
  </sheetData>
  <mergeCells count="13">
    <mergeCell ref="B13:G13"/>
    <mergeCell ref="B14:G14"/>
    <mergeCell ref="B15:G15"/>
    <mergeCell ref="B8:G8"/>
    <mergeCell ref="B9:G9"/>
    <mergeCell ref="B10:G10"/>
    <mergeCell ref="B11:G11"/>
    <mergeCell ref="B12:G12"/>
    <mergeCell ref="A1:G1"/>
    <mergeCell ref="A2:G2"/>
    <mergeCell ref="A4:G4"/>
    <mergeCell ref="B6:G6"/>
    <mergeCell ref="B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topLeftCell="A10" zoomScale="90" zoomScaleNormal="90" workbookViewId="0">
      <selection activeCell="A30" sqref="A30"/>
    </sheetView>
  </sheetViews>
  <sheetFormatPr defaultRowHeight="13.8"/>
  <cols>
    <col min="1" max="1" width="43" customWidth="1"/>
    <col min="2" max="6" width="19" customWidth="1"/>
    <col min="7" max="7" width="60" customWidth="1"/>
  </cols>
  <sheetData>
    <row r="1" spans="1:7" ht="30.45" customHeight="1">
      <c r="A1" s="12" t="s">
        <v>46</v>
      </c>
      <c r="B1" s="12"/>
      <c r="C1" s="12"/>
      <c r="D1" s="12"/>
      <c r="E1" s="12"/>
      <c r="F1" s="12"/>
      <c r="G1" s="12"/>
    </row>
    <row r="2" spans="1:7" ht="24.75" customHeight="1">
      <c r="A2" s="13" t="s">
        <v>1</v>
      </c>
      <c r="B2" s="13"/>
      <c r="C2" s="13"/>
      <c r="D2" s="13"/>
      <c r="E2" s="13"/>
      <c r="F2" s="13"/>
      <c r="G2" s="13"/>
    </row>
    <row r="3" spans="1:7" ht="16.8" customHeight="1">
      <c r="A3" s="1"/>
      <c r="B3" s="1"/>
      <c r="C3" s="1"/>
      <c r="D3" s="1"/>
      <c r="E3" s="1"/>
      <c r="F3" s="1"/>
      <c r="G3" s="1"/>
    </row>
    <row r="4" spans="1:7" ht="24" customHeight="1">
      <c r="A4" s="1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8" t="s">
        <v>47</v>
      </c>
    </row>
    <row r="5" spans="1:7" ht="21.6" customHeight="1">
      <c r="A5" s="14" t="s">
        <v>48</v>
      </c>
      <c r="B5" s="15"/>
      <c r="C5" s="15"/>
      <c r="D5" s="15"/>
      <c r="E5" s="15"/>
      <c r="F5" s="15"/>
      <c r="G5" s="16"/>
    </row>
    <row r="6" spans="1:7" ht="16.8" customHeight="1">
      <c r="A6" s="23" t="s">
        <v>49</v>
      </c>
      <c r="B6" s="24">
        <v>1000</v>
      </c>
      <c r="C6" s="24">
        <v>1100</v>
      </c>
      <c r="D6" s="24">
        <v>1200</v>
      </c>
      <c r="E6" s="24">
        <v>1300</v>
      </c>
      <c r="F6" s="25">
        <f>SUM(B6:E6)</f>
        <v>4600</v>
      </c>
      <c r="G6" s="27" t="s">
        <v>50</v>
      </c>
    </row>
    <row r="7" spans="1:7" ht="16.8" customHeight="1">
      <c r="A7" s="23" t="s">
        <v>51</v>
      </c>
      <c r="B7" s="24">
        <v>1500</v>
      </c>
      <c r="C7" s="24">
        <v>1500</v>
      </c>
      <c r="D7" s="24">
        <v>1500</v>
      </c>
      <c r="E7" s="24">
        <v>1500</v>
      </c>
      <c r="F7" s="25">
        <f>Операционные!F8/Операционные!F6</f>
        <v>1500</v>
      </c>
      <c r="G7" s="27" t="s">
        <v>52</v>
      </c>
    </row>
    <row r="8" spans="1:7" ht="16.8" customHeight="1">
      <c r="A8" s="23" t="s">
        <v>53</v>
      </c>
      <c r="B8" s="24">
        <v>550</v>
      </c>
      <c r="C8" s="24">
        <v>550</v>
      </c>
      <c r="D8" s="24">
        <v>550</v>
      </c>
      <c r="E8" s="24">
        <v>550</v>
      </c>
      <c r="F8" s="25"/>
      <c r="G8" s="27" t="s">
        <v>54</v>
      </c>
    </row>
    <row r="9" spans="1:7" ht="16.8" customHeight="1">
      <c r="A9" s="23" t="s">
        <v>55</v>
      </c>
      <c r="B9" s="24">
        <v>250</v>
      </c>
      <c r="C9" s="24">
        <v>250</v>
      </c>
      <c r="D9" s="24">
        <v>250</v>
      </c>
      <c r="E9" s="24">
        <v>250</v>
      </c>
      <c r="F9" s="25"/>
      <c r="G9" s="27" t="s">
        <v>56</v>
      </c>
    </row>
    <row r="10" spans="1:7" ht="16.8" customHeight="1">
      <c r="A10" s="23" t="s">
        <v>57</v>
      </c>
      <c r="B10" s="24">
        <v>90</v>
      </c>
      <c r="C10" s="24">
        <v>90</v>
      </c>
      <c r="D10" s="24">
        <v>90</v>
      </c>
      <c r="E10" s="24">
        <v>90</v>
      </c>
      <c r="F10" s="25"/>
      <c r="G10" s="27" t="s">
        <v>58</v>
      </c>
    </row>
    <row r="11" spans="1:7" ht="16.8" customHeight="1">
      <c r="A11" s="23" t="s">
        <v>59</v>
      </c>
      <c r="B11" s="24">
        <v>160000</v>
      </c>
      <c r="C11" s="24">
        <v>160000</v>
      </c>
      <c r="D11" s="24">
        <v>160000</v>
      </c>
      <c r="E11" s="24">
        <v>160000</v>
      </c>
      <c r="F11" s="25">
        <f>SUM(B11:E11)</f>
        <v>640000</v>
      </c>
      <c r="G11" s="27" t="s">
        <v>60</v>
      </c>
    </row>
    <row r="12" spans="1:7" ht="16.8" customHeight="1">
      <c r="A12" s="23" t="s">
        <v>61</v>
      </c>
      <c r="B12" s="24">
        <v>85000</v>
      </c>
      <c r="C12" s="24">
        <v>85000</v>
      </c>
      <c r="D12" s="24">
        <v>85000</v>
      </c>
      <c r="E12" s="24">
        <v>85000</v>
      </c>
      <c r="F12" s="25">
        <f>SUM(B12:E12)</f>
        <v>340000</v>
      </c>
      <c r="G12" s="27" t="s">
        <v>62</v>
      </c>
    </row>
    <row r="13" spans="1:7" ht="16.8" customHeight="1">
      <c r="A13" s="23" t="s">
        <v>63</v>
      </c>
      <c r="B13" s="24">
        <v>200000</v>
      </c>
      <c r="C13" s="24">
        <v>0</v>
      </c>
      <c r="D13" s="24">
        <v>100000</v>
      </c>
      <c r="E13" s="24">
        <v>0</v>
      </c>
      <c r="F13" s="25">
        <f>SUM(B13:E13)</f>
        <v>300000</v>
      </c>
      <c r="G13" s="27" t="s">
        <v>64</v>
      </c>
    </row>
    <row r="14" spans="1:7" ht="28.2" customHeight="1">
      <c r="A14" s="23" t="s">
        <v>65</v>
      </c>
      <c r="B14" s="24">
        <v>150000</v>
      </c>
      <c r="C14" s="24">
        <v>0</v>
      </c>
      <c r="D14" s="24">
        <v>0</v>
      </c>
      <c r="E14" s="24">
        <v>0</v>
      </c>
      <c r="F14" s="25">
        <f>SUM(B14:E14)</f>
        <v>150000</v>
      </c>
      <c r="G14" s="27" t="s">
        <v>66</v>
      </c>
    </row>
    <row r="15" spans="1:7" ht="16.8" customHeight="1">
      <c r="A15" s="23" t="s">
        <v>67</v>
      </c>
      <c r="B15" s="24">
        <v>0</v>
      </c>
      <c r="C15" s="24">
        <v>0</v>
      </c>
      <c r="D15" s="24">
        <v>0</v>
      </c>
      <c r="E15" s="24">
        <v>80000</v>
      </c>
      <c r="F15" s="25">
        <f>SUM(B15:E15)</f>
        <v>80000</v>
      </c>
      <c r="G15" s="27" t="s">
        <v>68</v>
      </c>
    </row>
    <row r="16" spans="1:7" ht="16.8" customHeight="1">
      <c r="A16" s="23" t="s">
        <v>69</v>
      </c>
      <c r="B16" s="26">
        <v>0.2</v>
      </c>
      <c r="C16" s="26">
        <v>0.2</v>
      </c>
      <c r="D16" s="26">
        <v>0.2</v>
      </c>
      <c r="E16" s="26">
        <v>0.2</v>
      </c>
      <c r="F16" s="25"/>
      <c r="G16" s="27" t="s">
        <v>70</v>
      </c>
    </row>
    <row r="17" spans="1:7" ht="16.8" customHeight="1">
      <c r="A17" s="23" t="s">
        <v>71</v>
      </c>
      <c r="B17" s="26">
        <v>0.15</v>
      </c>
      <c r="C17" s="26">
        <v>0.15</v>
      </c>
      <c r="D17" s="26">
        <v>0.15</v>
      </c>
      <c r="E17" s="26">
        <v>0.15</v>
      </c>
      <c r="F17" s="25"/>
      <c r="G17" s="27" t="s">
        <v>72</v>
      </c>
    </row>
    <row r="18" spans="1:7" ht="16.8" customHeight="1">
      <c r="A18" s="23" t="s">
        <v>73</v>
      </c>
      <c r="B18" s="26">
        <v>0.2</v>
      </c>
      <c r="C18" s="26">
        <v>0.2</v>
      </c>
      <c r="D18" s="26">
        <v>0.2</v>
      </c>
      <c r="E18" s="26">
        <v>0.2</v>
      </c>
      <c r="F18" s="25"/>
      <c r="G18" s="27" t="s">
        <v>74</v>
      </c>
    </row>
    <row r="19" spans="1:7" ht="16.8" customHeight="1">
      <c r="A19" s="23" t="s">
        <v>75</v>
      </c>
      <c r="B19" s="26">
        <v>0.1</v>
      </c>
      <c r="C19" s="26">
        <v>0.1</v>
      </c>
      <c r="D19" s="26">
        <v>0.1</v>
      </c>
      <c r="E19" s="26">
        <v>0.1</v>
      </c>
      <c r="F19" s="25"/>
      <c r="G19" s="27" t="s">
        <v>76</v>
      </c>
    </row>
    <row r="20" spans="1:7" ht="16.8" customHeight="1">
      <c r="A20" s="23" t="s">
        <v>77</v>
      </c>
      <c r="B20" s="24">
        <v>60000</v>
      </c>
      <c r="C20" s="24">
        <v>60000</v>
      </c>
      <c r="D20" s="24">
        <v>60000</v>
      </c>
      <c r="E20" s="24">
        <v>60000</v>
      </c>
      <c r="F20" s="25"/>
      <c r="G20" s="27" t="s">
        <v>78</v>
      </c>
    </row>
    <row r="21" spans="1:7" ht="16.8" customHeight="1">
      <c r="A21" s="23" t="s">
        <v>79</v>
      </c>
      <c r="B21" s="24">
        <v>20</v>
      </c>
      <c r="C21" s="24">
        <v>20</v>
      </c>
      <c r="D21" s="24">
        <v>20</v>
      </c>
      <c r="E21" s="24">
        <v>20</v>
      </c>
      <c r="F21" s="25"/>
      <c r="G21" s="27" t="s">
        <v>80</v>
      </c>
    </row>
    <row r="22" spans="1:7" ht="16.8" customHeight="1">
      <c r="A22" s="23" t="s">
        <v>81</v>
      </c>
      <c r="B22" s="24">
        <v>4</v>
      </c>
      <c r="C22" s="24">
        <v>4</v>
      </c>
      <c r="D22" s="24">
        <v>4</v>
      </c>
      <c r="E22" s="24">
        <v>4</v>
      </c>
      <c r="F22" s="25"/>
      <c r="G22" s="27" t="s">
        <v>82</v>
      </c>
    </row>
    <row r="23" spans="1:7" ht="21.6" customHeight="1">
      <c r="A23" s="14" t="s">
        <v>83</v>
      </c>
      <c r="B23" s="15"/>
      <c r="C23" s="15"/>
      <c r="D23" s="15"/>
      <c r="E23" s="15"/>
      <c r="F23" s="15"/>
      <c r="G23" s="16"/>
    </row>
    <row r="24" spans="1:7" ht="16.8" customHeight="1">
      <c r="A24" s="10" t="s">
        <v>84</v>
      </c>
      <c r="B24" s="5">
        <v>500000</v>
      </c>
      <c r="C24" s="3"/>
      <c r="D24" s="3"/>
      <c r="E24" s="3"/>
      <c r="F24" s="4"/>
      <c r="G24" s="7" t="s">
        <v>85</v>
      </c>
    </row>
    <row r="25" spans="1:7" ht="16.8" customHeight="1">
      <c r="A25" s="10" t="s">
        <v>86</v>
      </c>
      <c r="B25" s="5">
        <v>100000</v>
      </c>
      <c r="C25" s="3"/>
      <c r="D25" s="3"/>
      <c r="E25" s="3"/>
      <c r="F25" s="4"/>
      <c r="G25" s="1"/>
    </row>
    <row r="26" spans="1:7" ht="16.8" customHeight="1">
      <c r="A26" s="10" t="s">
        <v>87</v>
      </c>
      <c r="B26" s="5">
        <v>1200000</v>
      </c>
      <c r="C26" s="3"/>
      <c r="D26" s="3"/>
      <c r="E26" s="3"/>
      <c r="F26" s="4"/>
      <c r="G26" s="1"/>
    </row>
    <row r="27" spans="1:7" ht="16.8" customHeight="1">
      <c r="A27" s="10" t="s">
        <v>88</v>
      </c>
      <c r="B27" s="5">
        <v>80000</v>
      </c>
      <c r="C27" s="3"/>
      <c r="D27" s="3"/>
      <c r="E27" s="3"/>
      <c r="F27" s="4"/>
      <c r="G27" s="1"/>
    </row>
    <row r="28" spans="1:7" ht="16.8" customHeight="1">
      <c r="A28" s="10" t="s">
        <v>89</v>
      </c>
      <c r="B28" s="5">
        <v>300000</v>
      </c>
      <c r="C28" s="3"/>
      <c r="D28" s="3"/>
      <c r="E28" s="3"/>
      <c r="F28" s="4"/>
      <c r="G28" s="1"/>
    </row>
    <row r="29" spans="1:7" ht="16.8" customHeight="1">
      <c r="A29" s="10" t="s">
        <v>90</v>
      </c>
      <c r="B29" s="3">
        <f>SUM(B24:B26)-SUM(B27:B28)</f>
        <v>1420000</v>
      </c>
      <c r="C29" s="3"/>
      <c r="D29" s="3"/>
      <c r="E29" s="3"/>
      <c r="F29" s="4"/>
      <c r="G29" s="7" t="s">
        <v>91</v>
      </c>
    </row>
    <row r="30" spans="1:7" ht="16.8" customHeight="1">
      <c r="A30" s="8" t="s">
        <v>92</v>
      </c>
      <c r="B30" s="6">
        <f>SUM(B24:B26)-SUM(B27:B29)</f>
        <v>0</v>
      </c>
      <c r="C30" s="6"/>
      <c r="D30" s="6"/>
      <c r="E30" s="6"/>
      <c r="F30" s="6"/>
      <c r="G30" s="7" t="s">
        <v>93</v>
      </c>
    </row>
  </sheetData>
  <mergeCells count="4">
    <mergeCell ref="A1:G1"/>
    <mergeCell ref="A2:G2"/>
    <mergeCell ref="A5:G5"/>
    <mergeCell ref="A23:G23"/>
  </mergeCells>
  <conditionalFormatting sqref="B30:F30">
    <cfRule type="cellIs" dxfId="2" priority="1" operator="notEqual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zoomScale="80" zoomScaleNormal="80" workbookViewId="0">
      <selection activeCell="G19" sqref="G19"/>
    </sheetView>
  </sheetViews>
  <sheetFormatPr defaultRowHeight="13.8"/>
  <cols>
    <col min="1" max="1" width="43" customWidth="1"/>
    <col min="2" max="6" width="19" customWidth="1"/>
    <col min="7" max="7" width="33" customWidth="1"/>
  </cols>
  <sheetData>
    <row r="1" spans="1:7" ht="30.45" customHeight="1">
      <c r="A1" s="12" t="s">
        <v>94</v>
      </c>
      <c r="B1" s="12"/>
      <c r="C1" s="12"/>
      <c r="D1" s="12"/>
      <c r="E1" s="12"/>
      <c r="F1" s="12"/>
      <c r="G1" s="12"/>
    </row>
    <row r="2" spans="1:7" ht="24.75" customHeight="1">
      <c r="A2" s="13" t="s">
        <v>1</v>
      </c>
      <c r="B2" s="13"/>
      <c r="C2" s="13"/>
      <c r="D2" s="13"/>
      <c r="E2" s="13"/>
      <c r="F2" s="13"/>
      <c r="G2" s="13"/>
    </row>
    <row r="3" spans="1:7" ht="16.8" customHeight="1">
      <c r="A3" s="1"/>
      <c r="B3" s="1"/>
      <c r="C3" s="1"/>
      <c r="D3" s="1"/>
      <c r="E3" s="1"/>
      <c r="F3" s="1"/>
      <c r="G3" s="1"/>
    </row>
    <row r="4" spans="1:7" ht="24" customHeight="1">
      <c r="A4" s="1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1"/>
    </row>
    <row r="5" spans="1:7" ht="21.6" customHeight="1">
      <c r="A5" s="14" t="s">
        <v>95</v>
      </c>
      <c r="B5" s="15"/>
      <c r="C5" s="15"/>
      <c r="D5" s="15"/>
      <c r="E5" s="15"/>
      <c r="F5" s="15"/>
      <c r="G5" s="16"/>
    </row>
    <row r="6" spans="1:7" ht="16.8" customHeight="1">
      <c r="A6" s="23" t="s">
        <v>96</v>
      </c>
      <c r="B6" s="32">
        <f>Вводные!B6</f>
        <v>1000</v>
      </c>
      <c r="C6" s="32">
        <f>Вводные!C6</f>
        <v>1100</v>
      </c>
      <c r="D6" s="32">
        <f>Вводные!D6</f>
        <v>1200</v>
      </c>
      <c r="E6" s="32">
        <f>Вводные!E6</f>
        <v>1300</v>
      </c>
      <c r="F6" s="25">
        <f>SUM(B6:E6)</f>
        <v>4600</v>
      </c>
      <c r="G6" s="1"/>
    </row>
    <row r="7" spans="1:7" ht="16.8" customHeight="1">
      <c r="A7" s="23" t="s">
        <v>51</v>
      </c>
      <c r="B7" s="32">
        <f>Вводные!B7</f>
        <v>1500</v>
      </c>
      <c r="C7" s="32">
        <f>Вводные!C7</f>
        <v>1500</v>
      </c>
      <c r="D7" s="32">
        <f>Вводные!D7</f>
        <v>1500</v>
      </c>
      <c r="E7" s="32">
        <f>Вводные!E7</f>
        <v>1500</v>
      </c>
      <c r="F7" s="25">
        <f>IFERROR(F8/F6,0)</f>
        <v>1500</v>
      </c>
      <c r="G7" s="1"/>
    </row>
    <row r="8" spans="1:7" ht="33.6" customHeight="1">
      <c r="A8" s="33" t="s">
        <v>97</v>
      </c>
      <c r="B8" s="34">
        <f>B6*B7</f>
        <v>1500000</v>
      </c>
      <c r="C8" s="34">
        <f>C6*C7</f>
        <v>1650000</v>
      </c>
      <c r="D8" s="34">
        <f>D6*D7</f>
        <v>1800000</v>
      </c>
      <c r="E8" s="34">
        <f>E6*E7</f>
        <v>1950000</v>
      </c>
      <c r="F8" s="34">
        <f>SUM(B8:E8)</f>
        <v>6900000</v>
      </c>
      <c r="G8" s="7" t="s">
        <v>98</v>
      </c>
    </row>
    <row r="9" spans="1:7" ht="16.8" customHeight="1">
      <c r="A9" s="23"/>
      <c r="B9" s="37"/>
      <c r="C9" s="37"/>
      <c r="D9" s="37"/>
      <c r="E9" s="37"/>
      <c r="F9" s="25"/>
      <c r="G9" s="1"/>
    </row>
    <row r="10" spans="1:7" ht="16.8" customHeight="1">
      <c r="A10" s="23" t="s">
        <v>53</v>
      </c>
      <c r="B10" s="32">
        <f>Вводные!B8</f>
        <v>550</v>
      </c>
      <c r="C10" s="32">
        <f>Вводные!C8</f>
        <v>550</v>
      </c>
      <c r="D10" s="32">
        <f>Вводные!D8</f>
        <v>550</v>
      </c>
      <c r="E10" s="32">
        <f>Вводные!E8</f>
        <v>550</v>
      </c>
      <c r="F10" s="25">
        <f>IFERROR(F11/F6,0)</f>
        <v>550</v>
      </c>
      <c r="G10" s="1"/>
    </row>
    <row r="11" spans="1:7" ht="31.8" customHeight="1">
      <c r="A11" s="23" t="s">
        <v>99</v>
      </c>
      <c r="B11" s="38">
        <f>B6*B10</f>
        <v>550000</v>
      </c>
      <c r="C11" s="38">
        <f>C6*C10</f>
        <v>605000</v>
      </c>
      <c r="D11" s="38">
        <f>D6*D10</f>
        <v>660000</v>
      </c>
      <c r="E11" s="38">
        <f>E6*E10</f>
        <v>715000</v>
      </c>
      <c r="F11" s="25">
        <f>SUM(B11:E11)</f>
        <v>2530000</v>
      </c>
      <c r="G11" s="7" t="s">
        <v>100</v>
      </c>
    </row>
    <row r="12" spans="1:7" ht="16.8" customHeight="1">
      <c r="A12" s="23" t="s">
        <v>55</v>
      </c>
      <c r="B12" s="32">
        <f>Вводные!B9</f>
        <v>250</v>
      </c>
      <c r="C12" s="32">
        <f>Вводные!C9</f>
        <v>250</v>
      </c>
      <c r="D12" s="32">
        <f>Вводные!D9</f>
        <v>250</v>
      </c>
      <c r="E12" s="32">
        <f>Вводные!E9</f>
        <v>250</v>
      </c>
      <c r="F12" s="25">
        <f>IFERROR(F13/F6,0)</f>
        <v>250</v>
      </c>
      <c r="G12" s="1"/>
    </row>
    <row r="13" spans="1:7" ht="16.8" customHeight="1">
      <c r="A13" s="23" t="s">
        <v>101</v>
      </c>
      <c r="B13" s="38">
        <f>B6*B12</f>
        <v>250000</v>
      </c>
      <c r="C13" s="38">
        <f>C6*C12</f>
        <v>275000</v>
      </c>
      <c r="D13" s="38">
        <f>D6*D12</f>
        <v>300000</v>
      </c>
      <c r="E13" s="38">
        <f>E6*E12</f>
        <v>325000</v>
      </c>
      <c r="F13" s="25">
        <f>SUM(B13:E13)</f>
        <v>1150000</v>
      </c>
      <c r="G13" s="1"/>
    </row>
    <row r="14" spans="1:7" ht="16.8" customHeight="1">
      <c r="A14" s="23" t="s">
        <v>57</v>
      </c>
      <c r="B14" s="32">
        <f>Вводные!B10</f>
        <v>90</v>
      </c>
      <c r="C14" s="32">
        <f>Вводные!C10</f>
        <v>90</v>
      </c>
      <c r="D14" s="32">
        <f>Вводные!D10</f>
        <v>90</v>
      </c>
      <c r="E14" s="32">
        <f>Вводные!E10</f>
        <v>90</v>
      </c>
      <c r="F14" s="25">
        <f>IFERROR(F15/F6,0)</f>
        <v>90</v>
      </c>
      <c r="G14" s="1"/>
    </row>
    <row r="15" spans="1:7" ht="16.8" customHeight="1">
      <c r="A15" s="23" t="s">
        <v>102</v>
      </c>
      <c r="B15" s="38">
        <f>B6*B14</f>
        <v>90000</v>
      </c>
      <c r="C15" s="38">
        <f>C6*C14</f>
        <v>99000</v>
      </c>
      <c r="D15" s="38">
        <f>D6*D14</f>
        <v>108000</v>
      </c>
      <c r="E15" s="38">
        <f>E6*E14</f>
        <v>117000</v>
      </c>
      <c r="F15" s="25">
        <f>SUM(B15:E15)</f>
        <v>414000</v>
      </c>
      <c r="G15" s="1"/>
    </row>
    <row r="16" spans="1:7" ht="16.8" customHeight="1">
      <c r="A16" s="23" t="s">
        <v>103</v>
      </c>
      <c r="B16" s="32">
        <f>Вводные!B11</f>
        <v>160000</v>
      </c>
      <c r="C16" s="32">
        <f>Вводные!C11</f>
        <v>160000</v>
      </c>
      <c r="D16" s="32">
        <f>Вводные!D11</f>
        <v>160000</v>
      </c>
      <c r="E16" s="32">
        <f>Вводные!E11</f>
        <v>160000</v>
      </c>
      <c r="F16" s="25">
        <f>SUM(B16:E16)</f>
        <v>640000</v>
      </c>
      <c r="G16" s="1"/>
    </row>
    <row r="17" spans="1:7" ht="16.8" customHeight="1">
      <c r="A17" s="23" t="s">
        <v>104</v>
      </c>
      <c r="B17" s="32">
        <f>Вводные!B12</f>
        <v>85000</v>
      </c>
      <c r="C17" s="32">
        <f>Вводные!C12</f>
        <v>85000</v>
      </c>
      <c r="D17" s="32">
        <f>Вводные!D12</f>
        <v>85000</v>
      </c>
      <c r="E17" s="32">
        <f>Вводные!E12</f>
        <v>85000</v>
      </c>
      <c r="F17" s="25">
        <f>SUM(B17:E17)</f>
        <v>340000</v>
      </c>
      <c r="G17" s="1"/>
    </row>
    <row r="18" spans="1:7" ht="33.6" customHeight="1">
      <c r="A18" s="33" t="s">
        <v>105</v>
      </c>
      <c r="B18" s="34">
        <f>SUM(B11,B13,B15:B17)</f>
        <v>1135000</v>
      </c>
      <c r="C18" s="34">
        <f>SUM(C11,C13,C15:C17)</f>
        <v>1224000</v>
      </c>
      <c r="D18" s="34">
        <f>SUM(D11,D13,D15:D17)</f>
        <v>1313000</v>
      </c>
      <c r="E18" s="34">
        <f>SUM(E11,E13,E15:E17)</f>
        <v>1402000</v>
      </c>
      <c r="F18" s="34">
        <f>SUM(B18:E18)</f>
        <v>5074000</v>
      </c>
      <c r="G18" s="7" t="s">
        <v>106</v>
      </c>
    </row>
    <row r="19" spans="1:7" ht="31.8" customHeight="1">
      <c r="A19" s="33" t="s">
        <v>107</v>
      </c>
      <c r="B19" s="34">
        <f>B8-B18</f>
        <v>365000</v>
      </c>
      <c r="C19" s="34">
        <f>C8-C18</f>
        <v>426000</v>
      </c>
      <c r="D19" s="34">
        <f>D8-D18</f>
        <v>487000</v>
      </c>
      <c r="E19" s="34">
        <f>E8-E18</f>
        <v>548000</v>
      </c>
      <c r="F19" s="34">
        <f>SUM(B19:E19)</f>
        <v>1826000</v>
      </c>
      <c r="G19" s="7" t="s">
        <v>108</v>
      </c>
    </row>
  </sheetData>
  <mergeCells count="3">
    <mergeCell ref="A1:G1"/>
    <mergeCell ref="A2:G2"/>
    <mergeCell ref="A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topLeftCell="A10" zoomScale="80" zoomScaleNormal="80" workbookViewId="0">
      <selection activeCell="A29" sqref="A29:XFD42"/>
    </sheetView>
  </sheetViews>
  <sheetFormatPr defaultRowHeight="13.8"/>
  <cols>
    <col min="1" max="1" width="43" customWidth="1"/>
    <col min="2" max="6" width="19" customWidth="1"/>
    <col min="7" max="7" width="33" customWidth="1"/>
  </cols>
  <sheetData>
    <row r="1" spans="1:7" ht="30.45" customHeight="1">
      <c r="A1" s="12" t="s">
        <v>109</v>
      </c>
      <c r="B1" s="12"/>
      <c r="C1" s="12"/>
      <c r="D1" s="12"/>
      <c r="E1" s="12"/>
      <c r="F1" s="12"/>
      <c r="G1" s="12"/>
    </row>
    <row r="2" spans="1:7" ht="24.75" customHeight="1">
      <c r="A2" s="13" t="s">
        <v>1</v>
      </c>
      <c r="B2" s="13"/>
      <c r="C2" s="13"/>
      <c r="D2" s="13"/>
      <c r="E2" s="13"/>
      <c r="F2" s="13"/>
      <c r="G2" s="13"/>
    </row>
    <row r="3" spans="1:7" ht="16.8" customHeight="1">
      <c r="A3" s="1"/>
      <c r="B3" s="1"/>
      <c r="C3" s="1"/>
      <c r="D3" s="1"/>
      <c r="E3" s="1"/>
      <c r="F3" s="1"/>
      <c r="G3" s="1"/>
    </row>
    <row r="4" spans="1:7" ht="24" customHeight="1">
      <c r="A4" s="1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1"/>
    </row>
    <row r="5" spans="1:7" ht="21.6" customHeight="1">
      <c r="A5" s="14" t="s">
        <v>110</v>
      </c>
      <c r="B5" s="15"/>
      <c r="C5" s="15"/>
      <c r="D5" s="15"/>
      <c r="E5" s="15"/>
      <c r="F5" s="15"/>
      <c r="G5" s="16"/>
    </row>
    <row r="6" spans="1:7" ht="16.8" customHeight="1">
      <c r="A6" s="23" t="s">
        <v>111</v>
      </c>
      <c r="B6" s="32">
        <f>Вводные!B13</f>
        <v>200000</v>
      </c>
      <c r="C6" s="32">
        <f>Вводные!C13</f>
        <v>0</v>
      </c>
      <c r="D6" s="32">
        <f>Вводные!D13</f>
        <v>100000</v>
      </c>
      <c r="E6" s="32">
        <f>Вводные!E13</f>
        <v>0</v>
      </c>
      <c r="F6" s="25">
        <f>SUM(B6:E6)</f>
        <v>300000</v>
      </c>
      <c r="G6" s="1"/>
    </row>
    <row r="7" spans="1:7" ht="16.8" customHeight="1">
      <c r="A7" s="23" t="s">
        <v>112</v>
      </c>
      <c r="B7" s="32">
        <f>Вводные!B14</f>
        <v>150000</v>
      </c>
      <c r="C7" s="32">
        <f>Вводные!C14</f>
        <v>0</v>
      </c>
      <c r="D7" s="32">
        <f>Вводные!D14</f>
        <v>0</v>
      </c>
      <c r="E7" s="32">
        <f>Вводные!E14</f>
        <v>0</v>
      </c>
      <c r="F7" s="25">
        <f>SUM(B7:E7)</f>
        <v>150000</v>
      </c>
      <c r="G7" s="1"/>
    </row>
    <row r="8" spans="1:7" ht="16.8" customHeight="1">
      <c r="A8" s="23" t="s">
        <v>113</v>
      </c>
      <c r="B8" s="32">
        <f>Вводные!B15</f>
        <v>0</v>
      </c>
      <c r="C8" s="32">
        <f>Вводные!C15</f>
        <v>0</v>
      </c>
      <c r="D8" s="32">
        <f>Вводные!D15</f>
        <v>0</v>
      </c>
      <c r="E8" s="32">
        <f>Вводные!E15</f>
        <v>80000</v>
      </c>
      <c r="F8" s="25">
        <f>SUM(B8:E8)</f>
        <v>80000</v>
      </c>
      <c r="G8" s="1"/>
    </row>
    <row r="9" spans="1:7" ht="16.8" customHeight="1">
      <c r="A9" s="23" t="s">
        <v>114</v>
      </c>
      <c r="B9" s="32">
        <f>Вводные!$B$28</f>
        <v>300000</v>
      </c>
      <c r="C9" s="32">
        <f>B10</f>
        <v>450000</v>
      </c>
      <c r="D9" s="32">
        <f>C10</f>
        <v>450000</v>
      </c>
      <c r="E9" s="32">
        <f>D10</f>
        <v>450000</v>
      </c>
      <c r="F9" s="25">
        <f>B9</f>
        <v>300000</v>
      </c>
      <c r="G9" s="7" t="s">
        <v>115</v>
      </c>
    </row>
    <row r="10" spans="1:7" ht="20.85" customHeight="1">
      <c r="A10" s="33" t="s">
        <v>116</v>
      </c>
      <c r="B10" s="34">
        <f>B9+B7-B8</f>
        <v>450000</v>
      </c>
      <c r="C10" s="34">
        <f>C9+C7-C8</f>
        <v>450000</v>
      </c>
      <c r="D10" s="34">
        <f>D9+D7-D8</f>
        <v>450000</v>
      </c>
      <c r="E10" s="34">
        <f>E9+E7-E8</f>
        <v>370000</v>
      </c>
      <c r="F10" s="34">
        <f>E10</f>
        <v>370000</v>
      </c>
      <c r="G10" s="1"/>
    </row>
    <row r="11" spans="1:7" ht="16.8" customHeight="1">
      <c r="A11" s="23" t="s">
        <v>117</v>
      </c>
      <c r="B11" s="35">
        <f>Вводные!B19</f>
        <v>0.1</v>
      </c>
      <c r="C11" s="35">
        <f>Вводные!C19</f>
        <v>0.1</v>
      </c>
      <c r="D11" s="35">
        <f>Вводные!D19</f>
        <v>0.1</v>
      </c>
      <c r="E11" s="35">
        <f>Вводные!E19</f>
        <v>0.1</v>
      </c>
      <c r="F11" s="36"/>
      <c r="G11" s="1"/>
    </row>
    <row r="12" spans="1:7" ht="16.8" customHeight="1">
      <c r="A12" s="23" t="s">
        <v>118</v>
      </c>
      <c r="B12" s="32">
        <f>B9*B11/Вводные!$B$22</f>
        <v>7500</v>
      </c>
      <c r="C12" s="32">
        <f>C9*C11/Вводные!$B$22</f>
        <v>11250</v>
      </c>
      <c r="D12" s="32">
        <f>D9*D11/Вводные!$B$22</f>
        <v>11250</v>
      </c>
      <c r="E12" s="32">
        <f>E9*E11/Вводные!$B$22</f>
        <v>11250</v>
      </c>
      <c r="F12" s="25">
        <f>SUM(B12:E12)</f>
        <v>41250</v>
      </c>
      <c r="G12" s="1"/>
    </row>
    <row r="13" spans="1:7" ht="16.8" customHeight="1">
      <c r="A13" s="23" t="s">
        <v>119</v>
      </c>
      <c r="B13" s="32">
        <f>Вводные!$B$26</f>
        <v>1200000</v>
      </c>
      <c r="C13" s="32">
        <f>B17</f>
        <v>1330000</v>
      </c>
      <c r="D13" s="32">
        <f>C17</f>
        <v>1260000</v>
      </c>
      <c r="E13" s="32">
        <f>D17</f>
        <v>1285000</v>
      </c>
      <c r="F13" s="25">
        <f>B13</f>
        <v>1200000</v>
      </c>
      <c r="G13" s="1"/>
    </row>
    <row r="14" spans="1:7" ht="16.8" customHeight="1">
      <c r="A14" s="23" t="s">
        <v>120</v>
      </c>
      <c r="B14" s="32">
        <f>Вводные!B20</f>
        <v>60000</v>
      </c>
      <c r="C14" s="32">
        <f>Вводные!C20</f>
        <v>60000</v>
      </c>
      <c r="D14" s="32">
        <f>Вводные!D20</f>
        <v>60000</v>
      </c>
      <c r="E14" s="32">
        <f>Вводные!E20</f>
        <v>60000</v>
      </c>
      <c r="F14" s="25">
        <f>SUM(B14:E14)</f>
        <v>240000</v>
      </c>
      <c r="G14" s="1"/>
    </row>
    <row r="15" spans="1:7" ht="16.8" customHeight="1">
      <c r="A15" s="23" t="s">
        <v>121</v>
      </c>
      <c r="B15" s="32">
        <f>SUM($B6:B6)/Вводные!$B$21</f>
        <v>10000</v>
      </c>
      <c r="C15" s="32">
        <f>SUM($B6:C6)/Вводные!$B$21</f>
        <v>10000</v>
      </c>
      <c r="D15" s="32">
        <f>SUM($B6:D6)/Вводные!$B$21</f>
        <v>15000</v>
      </c>
      <c r="E15" s="32">
        <f>SUM($B6:E6)/Вводные!$B$21</f>
        <v>15000</v>
      </c>
      <c r="F15" s="25">
        <f>SUM(B15:E15)</f>
        <v>50000</v>
      </c>
      <c r="G15" s="7" t="s">
        <v>122</v>
      </c>
    </row>
    <row r="16" spans="1:7" ht="16.8" customHeight="1">
      <c r="A16" s="23" t="s">
        <v>123</v>
      </c>
      <c r="B16" s="38">
        <f>SUM(B14:B15)</f>
        <v>70000</v>
      </c>
      <c r="C16" s="38">
        <f>SUM(C14:C15)</f>
        <v>70000</v>
      </c>
      <c r="D16" s="38">
        <f>SUM(D14:D15)</f>
        <v>75000</v>
      </c>
      <c r="E16" s="38">
        <f>SUM(E14:E15)</f>
        <v>75000</v>
      </c>
      <c r="F16" s="25">
        <f>SUM(B16:E16)</f>
        <v>290000</v>
      </c>
      <c r="G16" s="1"/>
    </row>
    <row r="17" spans="1:7" ht="20.85" customHeight="1">
      <c r="A17" s="33" t="s">
        <v>124</v>
      </c>
      <c r="B17" s="34">
        <f>B13+B6-B16</f>
        <v>1330000</v>
      </c>
      <c r="C17" s="34">
        <f>C13+C6-C16</f>
        <v>1260000</v>
      </c>
      <c r="D17" s="34">
        <f>D13+D6-D16</f>
        <v>1285000</v>
      </c>
      <c r="E17" s="34">
        <f>E13+E6-E16</f>
        <v>1210000</v>
      </c>
      <c r="F17" s="34">
        <f>E17</f>
        <v>1210000</v>
      </c>
      <c r="G17" s="1"/>
    </row>
    <row r="18" spans="1:7" ht="16.8" customHeight="1">
      <c r="A18" s="23"/>
      <c r="B18" s="37"/>
      <c r="C18" s="37"/>
      <c r="D18" s="37"/>
      <c r="E18" s="37"/>
      <c r="F18" s="25"/>
      <c r="G18" s="1"/>
    </row>
    <row r="19" spans="1:7" ht="16.8" customHeight="1">
      <c r="A19" s="23" t="s">
        <v>125</v>
      </c>
      <c r="B19" s="32">
        <f>Вводные!$B$25</f>
        <v>100000</v>
      </c>
      <c r="C19" s="32">
        <f>B20</f>
        <v>300000</v>
      </c>
      <c r="D19" s="32">
        <f>C20</f>
        <v>330000</v>
      </c>
      <c r="E19" s="32">
        <f>D20</f>
        <v>360000</v>
      </c>
      <c r="F19" s="25">
        <f>B19</f>
        <v>100000</v>
      </c>
      <c r="G19" s="1"/>
    </row>
    <row r="20" spans="1:7" ht="16.8" customHeight="1">
      <c r="A20" s="23" t="s">
        <v>126</v>
      </c>
      <c r="B20" s="32">
        <f>Операционные!B8*Вводные!B16</f>
        <v>300000</v>
      </c>
      <c r="C20" s="32">
        <f>Операционные!C8*Вводные!C16</f>
        <v>330000</v>
      </c>
      <c r="D20" s="32">
        <f>Операционные!D8*Вводные!D16</f>
        <v>360000</v>
      </c>
      <c r="E20" s="32">
        <f>Операционные!E8*Вводные!E16</f>
        <v>390000</v>
      </c>
      <c r="F20" s="25">
        <f>E20</f>
        <v>390000</v>
      </c>
      <c r="G20" s="1"/>
    </row>
    <row r="21" spans="1:7" ht="31.8" customHeight="1">
      <c r="A21" s="33" t="s">
        <v>127</v>
      </c>
      <c r="B21" s="34">
        <f>B19+Операционные!B8-B20</f>
        <v>1300000</v>
      </c>
      <c r="C21" s="34">
        <f>C19+Операционные!C8-C20</f>
        <v>1620000</v>
      </c>
      <c r="D21" s="34">
        <f>D19+Операционные!D8-D20</f>
        <v>1770000</v>
      </c>
      <c r="E21" s="34">
        <f>E19+Операционные!E8-E20</f>
        <v>1920000</v>
      </c>
      <c r="F21" s="34">
        <f>SUM(B21:E21)</f>
        <v>6610000</v>
      </c>
      <c r="G21" s="7" t="s">
        <v>128</v>
      </c>
    </row>
    <row r="22" spans="1:7" ht="16.8" customHeight="1">
      <c r="A22" s="23"/>
      <c r="B22" s="37"/>
      <c r="C22" s="37"/>
      <c r="D22" s="37"/>
      <c r="E22" s="37"/>
      <c r="F22" s="25"/>
      <c r="G22" s="1"/>
    </row>
    <row r="23" spans="1:7" ht="16.8" customHeight="1">
      <c r="A23" s="23" t="s">
        <v>129</v>
      </c>
      <c r="B23" s="32">
        <f>Вводные!$B$27</f>
        <v>80000</v>
      </c>
      <c r="C23" s="32">
        <f>B24</f>
        <v>82500</v>
      </c>
      <c r="D23" s="32">
        <f>C24</f>
        <v>90750</v>
      </c>
      <c r="E23" s="32">
        <f>D24</f>
        <v>99000</v>
      </c>
      <c r="F23" s="25">
        <f>B23</f>
        <v>80000</v>
      </c>
      <c r="G23" s="1"/>
    </row>
    <row r="24" spans="1:7" ht="16.8" customHeight="1">
      <c r="A24" s="23" t="s">
        <v>130</v>
      </c>
      <c r="B24" s="32">
        <f>Операционные!B11*Вводные!B17</f>
        <v>82500</v>
      </c>
      <c r="C24" s="32">
        <f>Операционные!C11*Вводные!C17</f>
        <v>90750</v>
      </c>
      <c r="D24" s="32">
        <f>Операционные!D11*Вводные!D17</f>
        <v>99000</v>
      </c>
      <c r="E24" s="32">
        <f>Операционные!E11*Вводные!E17</f>
        <v>107250</v>
      </c>
      <c r="F24" s="25">
        <f>E24</f>
        <v>107250</v>
      </c>
      <c r="G24" s="1"/>
    </row>
    <row r="25" spans="1:7" ht="31.2" customHeight="1">
      <c r="A25" s="33" t="s">
        <v>131</v>
      </c>
      <c r="B25" s="34">
        <f>B23+Операционные!B11-B24</f>
        <v>547500</v>
      </c>
      <c r="C25" s="34">
        <f>C23+Операционные!C11-C24</f>
        <v>596750</v>
      </c>
      <c r="D25" s="34">
        <f>D23+Операционные!D11-D24</f>
        <v>651750</v>
      </c>
      <c r="E25" s="34">
        <f>E23+Операционные!E11-E24</f>
        <v>706750</v>
      </c>
      <c r="F25" s="34">
        <f>SUM(B25:E25)</f>
        <v>2502750</v>
      </c>
      <c r="G25" s="7" t="s">
        <v>132</v>
      </c>
    </row>
    <row r="26" spans="1:7" ht="16.8" customHeight="1">
      <c r="A26" s="23"/>
      <c r="B26" s="37"/>
      <c r="C26" s="37"/>
      <c r="D26" s="37"/>
      <c r="E26" s="37"/>
      <c r="F26" s="25"/>
      <c r="G26" s="1"/>
    </row>
    <row r="27" spans="1:7" ht="16.8" customHeight="1">
      <c r="A27" s="23" t="s">
        <v>133</v>
      </c>
      <c r="B27" s="32">
        <f>MAX(БДР!B20,0)*Вводные!B18</f>
        <v>57500</v>
      </c>
      <c r="C27" s="32">
        <f>MAX(БДР!C20,0)*Вводные!C18</f>
        <v>68950</v>
      </c>
      <c r="D27" s="32">
        <f>MAX(БДР!D20,0)*Вводные!D18</f>
        <v>80150</v>
      </c>
      <c r="E27" s="32">
        <f>MAX(БДР!E20,0)*Вводные!E18</f>
        <v>92350</v>
      </c>
      <c r="F27" s="25">
        <f>SUM(B27:E27)</f>
        <v>298950</v>
      </c>
      <c r="G27" s="7" t="s">
        <v>134</v>
      </c>
    </row>
    <row r="28" spans="1:7" ht="16.8" customHeight="1">
      <c r="A28" s="23" t="s">
        <v>135</v>
      </c>
      <c r="B28" s="38">
        <f>B27</f>
        <v>57500</v>
      </c>
      <c r="C28" s="38">
        <f>C27</f>
        <v>68950</v>
      </c>
      <c r="D28" s="38">
        <f>D27</f>
        <v>80150</v>
      </c>
      <c r="E28" s="38">
        <f>E27</f>
        <v>92350</v>
      </c>
      <c r="F28" s="25">
        <f>SUM(B28:E28)</f>
        <v>298950</v>
      </c>
      <c r="G28" s="1"/>
    </row>
  </sheetData>
  <mergeCells count="3">
    <mergeCell ref="A1:G1"/>
    <mergeCell ref="A2:G2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8"/>
  <sheetViews>
    <sheetView topLeftCell="A10" zoomScale="80" zoomScaleNormal="80" workbookViewId="0">
      <selection activeCell="A6" sqref="A6:F24"/>
    </sheetView>
  </sheetViews>
  <sheetFormatPr defaultRowHeight="13.8"/>
  <cols>
    <col min="1" max="1" width="43" customWidth="1"/>
    <col min="2" max="6" width="19" customWidth="1"/>
    <col min="7" max="7" width="33" customWidth="1"/>
  </cols>
  <sheetData>
    <row r="1" spans="1:7" ht="30.45" customHeight="1">
      <c r="A1" s="12" t="s">
        <v>136</v>
      </c>
      <c r="B1" s="12"/>
      <c r="C1" s="12"/>
      <c r="D1" s="12"/>
      <c r="E1" s="12"/>
      <c r="F1" s="12"/>
      <c r="G1" s="12"/>
    </row>
    <row r="2" spans="1:7" ht="24.75" customHeight="1">
      <c r="A2" s="13" t="s">
        <v>1</v>
      </c>
      <c r="B2" s="13"/>
      <c r="C2" s="13"/>
      <c r="D2" s="13"/>
      <c r="E2" s="13"/>
      <c r="F2" s="13"/>
      <c r="G2" s="13"/>
    </row>
    <row r="3" spans="1:7" ht="16.8" customHeight="1">
      <c r="A3" s="1"/>
      <c r="B3" s="1"/>
      <c r="C3" s="1"/>
      <c r="D3" s="1"/>
      <c r="E3" s="1"/>
      <c r="F3" s="1"/>
      <c r="G3" s="1"/>
    </row>
    <row r="4" spans="1:7" ht="24" customHeight="1">
      <c r="A4" s="1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1"/>
    </row>
    <row r="5" spans="1:7" ht="21.6" customHeight="1">
      <c r="A5" s="14" t="s">
        <v>137</v>
      </c>
      <c r="B5" s="15"/>
      <c r="C5" s="15"/>
      <c r="D5" s="15"/>
      <c r="E5" s="15"/>
      <c r="F5" s="15"/>
      <c r="G5" s="16"/>
    </row>
    <row r="6" spans="1:7" ht="20.85" customHeight="1">
      <c r="A6" s="33" t="s">
        <v>9</v>
      </c>
      <c r="B6" s="34">
        <f>Операционные!B8</f>
        <v>1500000</v>
      </c>
      <c r="C6" s="34">
        <f>Операционные!C8</f>
        <v>1650000</v>
      </c>
      <c r="D6" s="34">
        <f>Операционные!D8</f>
        <v>1800000</v>
      </c>
      <c r="E6" s="34">
        <f>Операционные!E8</f>
        <v>1950000</v>
      </c>
      <c r="F6" s="34">
        <f>SUM(B6:E6)</f>
        <v>6900000</v>
      </c>
      <c r="G6" s="1"/>
    </row>
    <row r="7" spans="1:7" ht="16.8" customHeight="1">
      <c r="A7" s="23"/>
      <c r="B7" s="37"/>
      <c r="C7" s="37"/>
      <c r="D7" s="37"/>
      <c r="E7" s="37"/>
      <c r="F7" s="25"/>
      <c r="G7" s="1"/>
    </row>
    <row r="8" spans="1:7" ht="16.8" customHeight="1">
      <c r="A8" s="23" t="s">
        <v>138</v>
      </c>
      <c r="B8" s="32">
        <f>Операционные!B11</f>
        <v>550000</v>
      </c>
      <c r="C8" s="32">
        <f>Операционные!C11</f>
        <v>605000</v>
      </c>
      <c r="D8" s="32">
        <f>Операционные!D11</f>
        <v>660000</v>
      </c>
      <c r="E8" s="32">
        <f>Операционные!E11</f>
        <v>715000</v>
      </c>
      <c r="F8" s="25">
        <f t="shared" ref="F8:F13" si="0">SUM(B8:E8)</f>
        <v>2530000</v>
      </c>
      <c r="G8" s="1"/>
    </row>
    <row r="9" spans="1:7" ht="16.8" customHeight="1">
      <c r="A9" s="23" t="s">
        <v>139</v>
      </c>
      <c r="B9" s="32">
        <f>Операционные!B13</f>
        <v>250000</v>
      </c>
      <c r="C9" s="32">
        <f>Операционные!C13</f>
        <v>275000</v>
      </c>
      <c r="D9" s="32">
        <f>Операционные!D13</f>
        <v>300000</v>
      </c>
      <c r="E9" s="32">
        <f>Операционные!E13</f>
        <v>325000</v>
      </c>
      <c r="F9" s="25">
        <f t="shared" si="0"/>
        <v>1150000</v>
      </c>
      <c r="G9" s="1"/>
    </row>
    <row r="10" spans="1:7" ht="16.8" customHeight="1">
      <c r="A10" s="23" t="s">
        <v>140</v>
      </c>
      <c r="B10" s="32">
        <f>Операционные!B15</f>
        <v>90000</v>
      </c>
      <c r="C10" s="32">
        <f>Операционные!C15</f>
        <v>99000</v>
      </c>
      <c r="D10" s="32">
        <f>Операционные!D15</f>
        <v>108000</v>
      </c>
      <c r="E10" s="32">
        <f>Операционные!E15</f>
        <v>117000</v>
      </c>
      <c r="F10" s="25">
        <f t="shared" si="0"/>
        <v>414000</v>
      </c>
      <c r="G10" s="1"/>
    </row>
    <row r="11" spans="1:7" ht="16.8" customHeight="1">
      <c r="A11" s="23" t="s">
        <v>141</v>
      </c>
      <c r="B11" s="32">
        <f>Операционные!B16</f>
        <v>160000</v>
      </c>
      <c r="C11" s="32">
        <f>Операционные!C16</f>
        <v>160000</v>
      </c>
      <c r="D11" s="32">
        <f>Операционные!D16</f>
        <v>160000</v>
      </c>
      <c r="E11" s="32">
        <f>Операционные!E16</f>
        <v>160000</v>
      </c>
      <c r="F11" s="25">
        <f t="shared" si="0"/>
        <v>640000</v>
      </c>
      <c r="G11" s="1"/>
    </row>
    <row r="12" spans="1:7" ht="16.8" customHeight="1">
      <c r="A12" s="23" t="s">
        <v>142</v>
      </c>
      <c r="B12" s="32">
        <f>Операционные!B17</f>
        <v>85000</v>
      </c>
      <c r="C12" s="32">
        <f>Операционные!C17</f>
        <v>85000</v>
      </c>
      <c r="D12" s="32">
        <f>Операционные!D17</f>
        <v>85000</v>
      </c>
      <c r="E12" s="32">
        <f>Операционные!E17</f>
        <v>85000</v>
      </c>
      <c r="F12" s="25">
        <f t="shared" si="0"/>
        <v>340000</v>
      </c>
      <c r="G12" s="1"/>
    </row>
    <row r="13" spans="1:7" ht="28.8" customHeight="1">
      <c r="A13" s="33" t="s">
        <v>143</v>
      </c>
      <c r="B13" s="34">
        <f>SUM(B8:B12)</f>
        <v>1135000</v>
      </c>
      <c r="C13" s="34">
        <f>SUM(C8:C12)</f>
        <v>1224000</v>
      </c>
      <c r="D13" s="34">
        <f>SUM(D8:D12)</f>
        <v>1313000</v>
      </c>
      <c r="E13" s="34">
        <f>SUM(E8:E12)</f>
        <v>1402000</v>
      </c>
      <c r="F13" s="34">
        <f t="shared" si="0"/>
        <v>5074000</v>
      </c>
      <c r="G13" s="7" t="s">
        <v>144</v>
      </c>
    </row>
    <row r="14" spans="1:7" ht="16.8" customHeight="1">
      <c r="A14" s="23"/>
      <c r="B14" s="37"/>
      <c r="C14" s="37"/>
      <c r="D14" s="37"/>
      <c r="E14" s="37"/>
      <c r="F14" s="25"/>
      <c r="G14" s="1"/>
    </row>
    <row r="15" spans="1:7" ht="31.2" customHeight="1">
      <c r="A15" s="33" t="s">
        <v>11</v>
      </c>
      <c r="B15" s="34">
        <f>B6-B13</f>
        <v>365000</v>
      </c>
      <c r="C15" s="34">
        <f>C6-C13</f>
        <v>426000</v>
      </c>
      <c r="D15" s="34">
        <f>D6-D13</f>
        <v>487000</v>
      </c>
      <c r="E15" s="34">
        <f>E6-E13</f>
        <v>548000</v>
      </c>
      <c r="F15" s="34">
        <f>SUM(B15:E15)</f>
        <v>1826000</v>
      </c>
      <c r="G15" s="7" t="s">
        <v>145</v>
      </c>
    </row>
    <row r="16" spans="1:7" ht="31.8" customHeight="1">
      <c r="A16" s="23" t="s">
        <v>146</v>
      </c>
      <c r="B16" s="32">
        <f>Финансирование!B16</f>
        <v>70000</v>
      </c>
      <c r="C16" s="32">
        <f>Финансирование!C16</f>
        <v>70000</v>
      </c>
      <c r="D16" s="32">
        <f>Финансирование!D16</f>
        <v>75000</v>
      </c>
      <c r="E16" s="32">
        <f>Финансирование!E16</f>
        <v>75000</v>
      </c>
      <c r="F16" s="25">
        <f>SUM(B16:E16)</f>
        <v>290000</v>
      </c>
      <c r="G16" s="7" t="s">
        <v>147</v>
      </c>
    </row>
    <row r="17" spans="1:7" ht="34.200000000000003" customHeight="1">
      <c r="A17" s="33" t="s">
        <v>148</v>
      </c>
      <c r="B17" s="34">
        <f>B15-B16</f>
        <v>295000</v>
      </c>
      <c r="C17" s="34">
        <f>C15-C16</f>
        <v>356000</v>
      </c>
      <c r="D17" s="34">
        <f>D15-D16</f>
        <v>412000</v>
      </c>
      <c r="E17" s="34">
        <f>E15-E16</f>
        <v>473000</v>
      </c>
      <c r="F17" s="34">
        <f>SUM(B17:E17)</f>
        <v>1536000</v>
      </c>
      <c r="G17" s="1"/>
    </row>
    <row r="18" spans="1:7" ht="16.8" customHeight="1">
      <c r="A18" s="23"/>
      <c r="B18" s="37"/>
      <c r="C18" s="37"/>
      <c r="D18" s="37"/>
      <c r="E18" s="37"/>
      <c r="F18" s="25"/>
      <c r="G18" s="1"/>
    </row>
    <row r="19" spans="1:7" ht="16.8" customHeight="1">
      <c r="A19" s="23" t="s">
        <v>149</v>
      </c>
      <c r="B19" s="32">
        <f>Финансирование!B12</f>
        <v>7500</v>
      </c>
      <c r="C19" s="32">
        <f>Финансирование!C12</f>
        <v>11250</v>
      </c>
      <c r="D19" s="32">
        <f>Финансирование!D12</f>
        <v>11250</v>
      </c>
      <c r="E19" s="32">
        <f>Финансирование!E12</f>
        <v>11250</v>
      </c>
      <c r="F19" s="25">
        <f>SUM(B19:E19)</f>
        <v>41250</v>
      </c>
      <c r="G19" s="1"/>
    </row>
    <row r="20" spans="1:7" ht="20.85" customHeight="1">
      <c r="A20" s="33" t="s">
        <v>150</v>
      </c>
      <c r="B20" s="34">
        <f>B17-B19</f>
        <v>287500</v>
      </c>
      <c r="C20" s="34">
        <f>C17-C19</f>
        <v>344750</v>
      </c>
      <c r="D20" s="34">
        <f>D17-D19</f>
        <v>400750</v>
      </c>
      <c r="E20" s="34">
        <f>E17-E19</f>
        <v>461750</v>
      </c>
      <c r="F20" s="34">
        <f>SUM(B20:E20)</f>
        <v>1494750</v>
      </c>
      <c r="G20" s="1"/>
    </row>
    <row r="21" spans="1:7" ht="16.8" customHeight="1">
      <c r="A21" s="23"/>
      <c r="B21" s="37"/>
      <c r="C21" s="37"/>
      <c r="D21" s="37"/>
      <c r="E21" s="37"/>
      <c r="F21" s="25"/>
      <c r="G21" s="1"/>
    </row>
    <row r="22" spans="1:7" ht="16.8" customHeight="1">
      <c r="A22" s="23" t="s">
        <v>151</v>
      </c>
      <c r="B22" s="32">
        <f>Финансирование!B27</f>
        <v>57500</v>
      </c>
      <c r="C22" s="32">
        <f>Финансирование!C27</f>
        <v>68950</v>
      </c>
      <c r="D22" s="32">
        <f>Финансирование!D27</f>
        <v>80150</v>
      </c>
      <c r="E22" s="32">
        <f>Финансирование!E27</f>
        <v>92350</v>
      </c>
      <c r="F22" s="25">
        <f>SUM(B22:E22)</f>
        <v>298950</v>
      </c>
      <c r="G22" s="1"/>
    </row>
    <row r="23" spans="1:7" ht="33.6" customHeight="1">
      <c r="A23" s="33" t="s">
        <v>152</v>
      </c>
      <c r="B23" s="34">
        <f>B20-B22</f>
        <v>230000</v>
      </c>
      <c r="C23" s="34">
        <f>C20-C22</f>
        <v>275800</v>
      </c>
      <c r="D23" s="34">
        <f>D20-D22</f>
        <v>320600</v>
      </c>
      <c r="E23" s="34">
        <f>E20-E22</f>
        <v>369400</v>
      </c>
      <c r="F23" s="34">
        <f>SUM(B23:E23)</f>
        <v>1195800</v>
      </c>
      <c r="G23" s="7" t="s">
        <v>153</v>
      </c>
    </row>
    <row r="24" spans="1:7" ht="16.8" customHeight="1">
      <c r="A24" s="23" t="s">
        <v>154</v>
      </c>
      <c r="B24" s="39">
        <f>IFERROR(B23/B6,0)</f>
        <v>0.15333333333333332</v>
      </c>
      <c r="C24" s="39">
        <f>IFERROR(C23/C6,0)</f>
        <v>0.16715151515151516</v>
      </c>
      <c r="D24" s="39">
        <f>IFERROR(D23/D6,0)</f>
        <v>0.17811111111111111</v>
      </c>
      <c r="E24" s="39">
        <f>IFERROR(E23/E6,0)</f>
        <v>0.18943589743589745</v>
      </c>
      <c r="F24" s="36">
        <f>IFERROR(F23/F6,0)</f>
        <v>0.17330434782608695</v>
      </c>
      <c r="G24" s="1"/>
    </row>
    <row r="25" spans="1:7" ht="16.8" customHeight="1">
      <c r="A25" s="10"/>
      <c r="B25" s="3"/>
      <c r="C25" s="3"/>
      <c r="D25" s="3"/>
      <c r="E25" s="3"/>
      <c r="F25" s="4"/>
      <c r="G25" s="1"/>
    </row>
    <row r="26" spans="1:7" ht="16.8" customHeight="1">
      <c r="A26" s="10"/>
      <c r="B26" s="3"/>
      <c r="C26" s="3"/>
      <c r="D26" s="3"/>
      <c r="E26" s="3"/>
      <c r="F26" s="4"/>
      <c r="G26" s="1"/>
    </row>
    <row r="27" spans="1:7" ht="16.8" customHeight="1">
      <c r="A27" s="10"/>
      <c r="B27" s="3"/>
      <c r="C27" s="3"/>
      <c r="D27" s="3"/>
      <c r="E27" s="3"/>
      <c r="F27" s="4"/>
      <c r="G27" s="1"/>
    </row>
    <row r="28" spans="1:7" ht="16.8" customHeight="1">
      <c r="A28" s="10"/>
      <c r="B28" s="3"/>
      <c r="C28" s="3"/>
      <c r="D28" s="3"/>
      <c r="E28" s="3"/>
      <c r="F28" s="4"/>
      <c r="G28" s="1"/>
    </row>
    <row r="29" spans="1:7" ht="16.8" customHeight="1">
      <c r="A29" s="10"/>
      <c r="B29" s="3"/>
      <c r="C29" s="3"/>
      <c r="D29" s="3"/>
      <c r="E29" s="3"/>
      <c r="F29" s="4"/>
      <c r="G29" s="1"/>
    </row>
    <row r="30" spans="1:7" ht="16.8" customHeight="1">
      <c r="A30" s="10"/>
      <c r="B30" s="3"/>
      <c r="C30" s="3"/>
      <c r="D30" s="3"/>
      <c r="E30" s="3"/>
      <c r="F30" s="4"/>
      <c r="G30" s="1"/>
    </row>
    <row r="31" spans="1:7" ht="16.8" customHeight="1">
      <c r="A31" s="10"/>
      <c r="B31" s="3"/>
      <c r="C31" s="3"/>
      <c r="D31" s="3"/>
      <c r="E31" s="3"/>
      <c r="F31" s="4"/>
      <c r="G31" s="1"/>
    </row>
    <row r="32" spans="1:7" ht="16.8" customHeight="1">
      <c r="A32" s="10"/>
      <c r="B32" s="3"/>
      <c r="C32" s="3"/>
      <c r="D32" s="3"/>
      <c r="E32" s="3"/>
      <c r="F32" s="4"/>
      <c r="G32" s="1"/>
    </row>
    <row r="33" spans="1:7" ht="16.8" customHeight="1">
      <c r="A33" s="10"/>
      <c r="B33" s="3"/>
      <c r="C33" s="3"/>
      <c r="D33" s="3"/>
      <c r="E33" s="3"/>
      <c r="F33" s="4"/>
      <c r="G33" s="1"/>
    </row>
    <row r="34" spans="1:7" ht="16.8" customHeight="1">
      <c r="A34" s="10"/>
      <c r="B34" s="3"/>
      <c r="C34" s="3"/>
      <c r="D34" s="3"/>
      <c r="E34" s="3"/>
      <c r="F34" s="4"/>
      <c r="G34" s="1"/>
    </row>
    <row r="35" spans="1:7" ht="16.8" customHeight="1">
      <c r="A35" s="10"/>
      <c r="B35" s="3"/>
      <c r="C35" s="3"/>
      <c r="D35" s="3"/>
      <c r="E35" s="3"/>
      <c r="F35" s="4"/>
      <c r="G35" s="1"/>
    </row>
    <row r="36" spans="1:7" ht="16.8" customHeight="1">
      <c r="A36" s="10"/>
      <c r="B36" s="3"/>
      <c r="C36" s="3"/>
      <c r="D36" s="3"/>
      <c r="E36" s="3"/>
      <c r="F36" s="4"/>
      <c r="G36" s="1"/>
    </row>
    <row r="37" spans="1:7" ht="16.8" customHeight="1">
      <c r="A37" s="1"/>
      <c r="B37" s="3"/>
      <c r="C37" s="3"/>
      <c r="D37" s="3"/>
      <c r="E37" s="3"/>
      <c r="F37" s="4"/>
      <c r="G37" s="1"/>
    </row>
    <row r="38" spans="1:7" ht="16.8" customHeight="1">
      <c r="A38" s="1"/>
      <c r="B38" s="3"/>
      <c r="C38" s="3"/>
      <c r="D38" s="3"/>
      <c r="E38" s="3"/>
      <c r="F38" s="4"/>
      <c r="G38" s="1"/>
    </row>
  </sheetData>
  <mergeCells count="3">
    <mergeCell ref="A1:G1"/>
    <mergeCell ref="A2:G2"/>
    <mergeCell ref="A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"/>
  <sheetViews>
    <sheetView topLeftCell="A7" zoomScale="80" zoomScaleNormal="80" workbookViewId="0">
      <selection activeCell="G28" sqref="G28"/>
    </sheetView>
  </sheetViews>
  <sheetFormatPr defaultRowHeight="13.8"/>
  <cols>
    <col min="1" max="1" width="43" customWidth="1"/>
    <col min="2" max="6" width="19" customWidth="1"/>
    <col min="7" max="7" width="33" customWidth="1"/>
  </cols>
  <sheetData>
    <row r="1" spans="1:7" ht="30.45" customHeight="1">
      <c r="A1" s="12" t="s">
        <v>155</v>
      </c>
      <c r="B1" s="12"/>
      <c r="C1" s="12"/>
      <c r="D1" s="12"/>
      <c r="E1" s="12"/>
      <c r="F1" s="12"/>
      <c r="G1" s="12"/>
    </row>
    <row r="2" spans="1:7" ht="24.75" customHeight="1">
      <c r="A2" s="13" t="s">
        <v>1</v>
      </c>
      <c r="B2" s="13"/>
      <c r="C2" s="13"/>
      <c r="D2" s="13"/>
      <c r="E2" s="13"/>
      <c r="F2" s="13"/>
      <c r="G2" s="13"/>
    </row>
    <row r="3" spans="1:7" ht="16.8" customHeight="1">
      <c r="A3" s="1"/>
      <c r="B3" s="1"/>
      <c r="C3" s="1"/>
      <c r="D3" s="1"/>
      <c r="E3" s="1"/>
      <c r="F3" s="1"/>
      <c r="G3" s="1"/>
    </row>
    <row r="4" spans="1:7" ht="24" customHeight="1">
      <c r="A4" s="1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1"/>
    </row>
    <row r="5" spans="1:7" ht="21.6" customHeight="1">
      <c r="A5" s="14" t="s">
        <v>156</v>
      </c>
      <c r="B5" s="15"/>
      <c r="C5" s="15"/>
      <c r="D5" s="15"/>
      <c r="E5" s="15"/>
      <c r="F5" s="15"/>
      <c r="G5" s="16"/>
    </row>
    <row r="6" spans="1:7" ht="26.4" customHeight="1">
      <c r="A6" s="23" t="s">
        <v>157</v>
      </c>
      <c r="B6" s="32">
        <f>Вводные!$B$24</f>
        <v>500000</v>
      </c>
      <c r="C6" s="32">
        <f>B23</f>
        <v>552500</v>
      </c>
      <c r="D6" s="32">
        <f>C23</f>
        <v>876550</v>
      </c>
      <c r="E6" s="32">
        <f>D23</f>
        <v>1150400</v>
      </c>
      <c r="F6" s="25">
        <f>B6</f>
        <v>500000</v>
      </c>
      <c r="G6" s="7" t="s">
        <v>158</v>
      </c>
    </row>
    <row r="7" spans="1:7" ht="16.8" customHeight="1">
      <c r="A7" s="23"/>
      <c r="B7" s="37"/>
      <c r="C7" s="37"/>
      <c r="D7" s="37"/>
      <c r="E7" s="37"/>
      <c r="F7" s="25"/>
      <c r="G7" s="1"/>
    </row>
    <row r="8" spans="1:7" ht="16.8" customHeight="1">
      <c r="A8" s="23" t="s">
        <v>127</v>
      </c>
      <c r="B8" s="32">
        <f>Финансирование!B21</f>
        <v>1300000</v>
      </c>
      <c r="C8" s="32">
        <f>Финансирование!C21</f>
        <v>1620000</v>
      </c>
      <c r="D8" s="32">
        <f>Финансирование!D21</f>
        <v>1770000</v>
      </c>
      <c r="E8" s="32">
        <f>Финансирование!E21</f>
        <v>1920000</v>
      </c>
      <c r="F8" s="25">
        <f>SUM(B8:E8)</f>
        <v>6610000</v>
      </c>
      <c r="G8" s="1"/>
    </row>
    <row r="9" spans="1:7" ht="20.85" customHeight="1">
      <c r="A9" s="33" t="s">
        <v>159</v>
      </c>
      <c r="B9" s="34">
        <f>B8</f>
        <v>1300000</v>
      </c>
      <c r="C9" s="34">
        <f>C8</f>
        <v>1620000</v>
      </c>
      <c r="D9" s="34">
        <f>D8</f>
        <v>1770000</v>
      </c>
      <c r="E9" s="34">
        <f>E8</f>
        <v>1920000</v>
      </c>
      <c r="F9" s="34">
        <f>SUM(B9:E9)</f>
        <v>6610000</v>
      </c>
      <c r="G9" s="1"/>
    </row>
    <row r="10" spans="1:7" ht="16.8" customHeight="1">
      <c r="A10" s="23"/>
      <c r="B10" s="37"/>
      <c r="C10" s="37"/>
      <c r="D10" s="37"/>
      <c r="E10" s="37"/>
      <c r="F10" s="25"/>
      <c r="G10" s="1"/>
    </row>
    <row r="11" spans="1:7" ht="16.8" customHeight="1">
      <c r="A11" s="23" t="s">
        <v>160</v>
      </c>
      <c r="B11" s="32">
        <f>Финансирование!B25</f>
        <v>547500</v>
      </c>
      <c r="C11" s="32">
        <f>Финансирование!C25</f>
        <v>596750</v>
      </c>
      <c r="D11" s="32">
        <f>Финансирование!D25</f>
        <v>651750</v>
      </c>
      <c r="E11" s="32">
        <f>Финансирование!E25</f>
        <v>706750</v>
      </c>
      <c r="F11" s="25">
        <f t="shared" ref="F11:F22" si="0">SUM(B11:E11)</f>
        <v>2502750</v>
      </c>
      <c r="G11" s="1"/>
    </row>
    <row r="12" spans="1:7" ht="16.8" customHeight="1">
      <c r="A12" s="23" t="s">
        <v>139</v>
      </c>
      <c r="B12" s="32">
        <f>Операционные!B13</f>
        <v>250000</v>
      </c>
      <c r="C12" s="32">
        <f>Операционные!C13</f>
        <v>275000</v>
      </c>
      <c r="D12" s="32">
        <f>Операционные!D13</f>
        <v>300000</v>
      </c>
      <c r="E12" s="32">
        <f>Операционные!E13</f>
        <v>325000</v>
      </c>
      <c r="F12" s="25">
        <f t="shared" si="0"/>
        <v>1150000</v>
      </c>
      <c r="G12" s="1"/>
    </row>
    <row r="13" spans="1:7" ht="16.8" customHeight="1">
      <c r="A13" s="23" t="s">
        <v>161</v>
      </c>
      <c r="B13" s="32">
        <f>Операционные!B15</f>
        <v>90000</v>
      </c>
      <c r="C13" s="32">
        <f>Операционные!C15</f>
        <v>99000</v>
      </c>
      <c r="D13" s="32">
        <f>Операционные!D15</f>
        <v>108000</v>
      </c>
      <c r="E13" s="32">
        <f>Операционные!E15</f>
        <v>117000</v>
      </c>
      <c r="F13" s="25">
        <f t="shared" si="0"/>
        <v>414000</v>
      </c>
      <c r="G13" s="1"/>
    </row>
    <row r="14" spans="1:7" ht="16.8" customHeight="1">
      <c r="A14" s="23" t="s">
        <v>162</v>
      </c>
      <c r="B14" s="32">
        <f>Операционные!B16</f>
        <v>160000</v>
      </c>
      <c r="C14" s="32">
        <f>Операционные!C16</f>
        <v>160000</v>
      </c>
      <c r="D14" s="32">
        <f>Операционные!D16</f>
        <v>160000</v>
      </c>
      <c r="E14" s="32">
        <f>Операционные!E16</f>
        <v>160000</v>
      </c>
      <c r="F14" s="25">
        <f t="shared" si="0"/>
        <v>640000</v>
      </c>
      <c r="G14" s="1"/>
    </row>
    <row r="15" spans="1:7" ht="16.8" customHeight="1">
      <c r="A15" s="23" t="s">
        <v>163</v>
      </c>
      <c r="B15" s="32">
        <f>Операционные!B17</f>
        <v>85000</v>
      </c>
      <c r="C15" s="32">
        <f>Операционные!C17</f>
        <v>85000</v>
      </c>
      <c r="D15" s="32">
        <f>Операционные!D17</f>
        <v>85000</v>
      </c>
      <c r="E15" s="32">
        <f>Операционные!E17</f>
        <v>85000</v>
      </c>
      <c r="F15" s="25">
        <f t="shared" si="0"/>
        <v>340000</v>
      </c>
      <c r="G15" s="1"/>
    </row>
    <row r="16" spans="1:7" ht="16.8" customHeight="1">
      <c r="A16" s="23" t="s">
        <v>164</v>
      </c>
      <c r="B16" s="32">
        <f>Финансирование!B12</f>
        <v>7500</v>
      </c>
      <c r="C16" s="32">
        <f>Финансирование!C12</f>
        <v>11250</v>
      </c>
      <c r="D16" s="32">
        <f>Финансирование!D12</f>
        <v>11250</v>
      </c>
      <c r="E16" s="32">
        <f>Финансирование!E12</f>
        <v>11250</v>
      </c>
      <c r="F16" s="25">
        <f t="shared" si="0"/>
        <v>41250</v>
      </c>
      <c r="G16" s="1"/>
    </row>
    <row r="17" spans="1:7" ht="16.8" customHeight="1">
      <c r="A17" s="23" t="s">
        <v>135</v>
      </c>
      <c r="B17" s="32">
        <f>Финансирование!B28</f>
        <v>57500</v>
      </c>
      <c r="C17" s="32">
        <f>Финансирование!C28</f>
        <v>68950</v>
      </c>
      <c r="D17" s="32">
        <f>Финансирование!D28</f>
        <v>80150</v>
      </c>
      <c r="E17" s="32">
        <f>Финансирование!E28</f>
        <v>92350</v>
      </c>
      <c r="F17" s="25">
        <f t="shared" si="0"/>
        <v>298950</v>
      </c>
      <c r="G17" s="1"/>
    </row>
    <row r="18" spans="1:7" ht="20.85" customHeight="1">
      <c r="A18" s="33" t="s">
        <v>165</v>
      </c>
      <c r="B18" s="34">
        <f>SUM(B11:B17)</f>
        <v>1197500</v>
      </c>
      <c r="C18" s="34">
        <f>SUM(C11:C17)</f>
        <v>1295950</v>
      </c>
      <c r="D18" s="34">
        <f>SUM(D11:D17)</f>
        <v>1396150</v>
      </c>
      <c r="E18" s="34">
        <f>SUM(E11:E17)</f>
        <v>1497350</v>
      </c>
      <c r="F18" s="34">
        <f t="shared" si="0"/>
        <v>5386950</v>
      </c>
      <c r="G18" s="1"/>
    </row>
    <row r="19" spans="1:7" ht="34.799999999999997" customHeight="1">
      <c r="A19" s="33" t="s">
        <v>166</v>
      </c>
      <c r="B19" s="34">
        <f>B9-B18</f>
        <v>102500</v>
      </c>
      <c r="C19" s="34">
        <f>C9-C18</f>
        <v>324050</v>
      </c>
      <c r="D19" s="34">
        <f>D9-D18</f>
        <v>373850</v>
      </c>
      <c r="E19" s="34">
        <f>E9-E18</f>
        <v>422650</v>
      </c>
      <c r="F19" s="34">
        <f t="shared" si="0"/>
        <v>1223050</v>
      </c>
      <c r="G19" s="7" t="s">
        <v>167</v>
      </c>
    </row>
    <row r="20" spans="1:7" ht="16.8" customHeight="1">
      <c r="A20" s="23" t="s">
        <v>15</v>
      </c>
      <c r="B20" s="32">
        <f>-Финансирование!B6</f>
        <v>-200000</v>
      </c>
      <c r="C20" s="32">
        <f>-Финансирование!C6</f>
        <v>0</v>
      </c>
      <c r="D20" s="32">
        <f>-Финансирование!D6</f>
        <v>-100000</v>
      </c>
      <c r="E20" s="32">
        <f>-Финансирование!E6</f>
        <v>0</v>
      </c>
      <c r="F20" s="25">
        <f t="shared" si="0"/>
        <v>-300000</v>
      </c>
      <c r="G20" s="7" t="s">
        <v>168</v>
      </c>
    </row>
    <row r="21" spans="1:7" ht="16.8" customHeight="1">
      <c r="A21" s="23" t="s">
        <v>169</v>
      </c>
      <c r="B21" s="32">
        <f>Финансирование!B7-Финансирование!B8</f>
        <v>150000</v>
      </c>
      <c r="C21" s="32">
        <f>Финансирование!C7-Финансирование!C8</f>
        <v>0</v>
      </c>
      <c r="D21" s="32">
        <f>Финансирование!D7-Финансирование!D8</f>
        <v>0</v>
      </c>
      <c r="E21" s="32">
        <f>Финансирование!E7-Финансирование!E8</f>
        <v>-80000</v>
      </c>
      <c r="F21" s="25">
        <f t="shared" si="0"/>
        <v>70000</v>
      </c>
      <c r="G21" s="1"/>
    </row>
    <row r="22" spans="1:7" ht="20.85" customHeight="1">
      <c r="A22" s="33" t="s">
        <v>170</v>
      </c>
      <c r="B22" s="34">
        <f>SUM(B19:B21)</f>
        <v>52500</v>
      </c>
      <c r="C22" s="34">
        <f>SUM(C19:C21)</f>
        <v>324050</v>
      </c>
      <c r="D22" s="34">
        <f>SUM(D19:D21)</f>
        <v>273850</v>
      </c>
      <c r="E22" s="34">
        <f>SUM(E19:E21)</f>
        <v>342650</v>
      </c>
      <c r="F22" s="34">
        <f t="shared" si="0"/>
        <v>993050</v>
      </c>
      <c r="G22" s="1"/>
    </row>
    <row r="23" spans="1:7" ht="20.85" customHeight="1">
      <c r="A23" s="33" t="s">
        <v>171</v>
      </c>
      <c r="B23" s="34">
        <f>B6+B22</f>
        <v>552500</v>
      </c>
      <c r="C23" s="34">
        <f>C6+C22</f>
        <v>876550</v>
      </c>
      <c r="D23" s="34">
        <f>D6+D22</f>
        <v>1150400</v>
      </c>
      <c r="E23" s="34">
        <f>E6+E22</f>
        <v>1493050</v>
      </c>
      <c r="F23" s="34">
        <f>E23</f>
        <v>1493050</v>
      </c>
      <c r="G23" s="7" t="s">
        <v>172</v>
      </c>
    </row>
    <row r="24" spans="1:7" ht="16.8" customHeight="1">
      <c r="A24" s="23"/>
      <c r="B24" s="37"/>
      <c r="C24" s="37"/>
      <c r="D24" s="37"/>
      <c r="E24" s="37"/>
      <c r="F24" s="25"/>
      <c r="G24" s="1"/>
    </row>
    <row r="25" spans="1:7" ht="20.85" customHeight="1">
      <c r="A25" s="33" t="s">
        <v>173</v>
      </c>
      <c r="B25" s="34">
        <f>B23-B6-B22</f>
        <v>0</v>
      </c>
      <c r="C25" s="34">
        <f>C23-C6-C22</f>
        <v>0</v>
      </c>
      <c r="D25" s="34">
        <f>D23-D6-D22</f>
        <v>0</v>
      </c>
      <c r="E25" s="34">
        <f>E23-E6-E22</f>
        <v>0</v>
      </c>
      <c r="F25" s="34">
        <f>E25</f>
        <v>0</v>
      </c>
      <c r="G25" s="7" t="s">
        <v>174</v>
      </c>
    </row>
  </sheetData>
  <mergeCells count="3">
    <mergeCell ref="A1:G1"/>
    <mergeCell ref="A2:G2"/>
    <mergeCell ref="A5:G5"/>
  </mergeCells>
  <conditionalFormatting sqref="B25:F25">
    <cfRule type="cellIs" dxfId="1" priority="1" operator="not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6"/>
  <sheetViews>
    <sheetView zoomScale="90" zoomScaleNormal="90" workbookViewId="0">
      <selection activeCell="A16" sqref="A16"/>
    </sheetView>
  </sheetViews>
  <sheetFormatPr defaultRowHeight="13.8"/>
  <cols>
    <col min="1" max="1" width="43" customWidth="1"/>
    <col min="2" max="6" width="19" customWidth="1"/>
    <col min="7" max="7" width="33" customWidth="1"/>
  </cols>
  <sheetData>
    <row r="1" spans="1:7" ht="30.45" customHeight="1">
      <c r="A1" s="12" t="s">
        <v>175</v>
      </c>
      <c r="B1" s="12"/>
      <c r="C1" s="12"/>
      <c r="D1" s="12"/>
      <c r="E1" s="12"/>
      <c r="F1" s="12"/>
      <c r="G1" s="12"/>
    </row>
    <row r="2" spans="1:7" ht="24.75" customHeight="1">
      <c r="A2" s="13" t="s">
        <v>1</v>
      </c>
      <c r="B2" s="13"/>
      <c r="C2" s="13"/>
      <c r="D2" s="13"/>
      <c r="E2" s="13"/>
      <c r="F2" s="13"/>
      <c r="G2" s="13"/>
    </row>
    <row r="3" spans="1:7" ht="16.8" customHeight="1">
      <c r="A3" s="1"/>
      <c r="B3" s="1"/>
      <c r="C3" s="1"/>
      <c r="D3" s="1"/>
      <c r="E3" s="1"/>
      <c r="F3" s="1"/>
      <c r="G3" s="1"/>
    </row>
    <row r="4" spans="1:7" ht="24" customHeight="1">
      <c r="A4" s="1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1"/>
    </row>
    <row r="5" spans="1:7" ht="21.6" customHeight="1">
      <c r="A5" s="14" t="s">
        <v>176</v>
      </c>
      <c r="B5" s="15"/>
      <c r="C5" s="15"/>
      <c r="D5" s="15"/>
      <c r="E5" s="15"/>
      <c r="F5" s="15"/>
      <c r="G5" s="16"/>
    </row>
    <row r="6" spans="1:7" ht="16.8" customHeight="1">
      <c r="A6" s="23" t="s">
        <v>84</v>
      </c>
      <c r="B6" s="32">
        <f>БДДС!B23</f>
        <v>552500</v>
      </c>
      <c r="C6" s="32">
        <f>БДДС!C23</f>
        <v>876550</v>
      </c>
      <c r="D6" s="32">
        <f>БДДС!D23</f>
        <v>1150400</v>
      </c>
      <c r="E6" s="32">
        <f>БДДС!E23</f>
        <v>1493050</v>
      </c>
      <c r="F6" s="25">
        <f>E6</f>
        <v>1493050</v>
      </c>
      <c r="G6" s="7" t="s">
        <v>177</v>
      </c>
    </row>
    <row r="7" spans="1:7" ht="16.8" customHeight="1">
      <c r="A7" s="23" t="s">
        <v>86</v>
      </c>
      <c r="B7" s="32">
        <f>Финансирование!B20</f>
        <v>300000</v>
      </c>
      <c r="C7" s="32">
        <f>Финансирование!C20</f>
        <v>330000</v>
      </c>
      <c r="D7" s="32">
        <f>Финансирование!D20</f>
        <v>360000</v>
      </c>
      <c r="E7" s="32">
        <f>Финансирование!E20</f>
        <v>390000</v>
      </c>
      <c r="F7" s="25">
        <f>E7</f>
        <v>390000</v>
      </c>
      <c r="G7" s="1"/>
    </row>
    <row r="8" spans="1:7" ht="16.8" customHeight="1">
      <c r="A8" s="23" t="s">
        <v>178</v>
      </c>
      <c r="B8" s="32">
        <f>Финансирование!B17</f>
        <v>1330000</v>
      </c>
      <c r="C8" s="32">
        <f>Финансирование!C17</f>
        <v>1260000</v>
      </c>
      <c r="D8" s="32">
        <f>Финансирование!D17</f>
        <v>1285000</v>
      </c>
      <c r="E8" s="32">
        <f>Финансирование!E17</f>
        <v>1210000</v>
      </c>
      <c r="F8" s="25">
        <f>E8</f>
        <v>1210000</v>
      </c>
      <c r="G8" s="7" t="s">
        <v>179</v>
      </c>
    </row>
    <row r="9" spans="1:7" ht="20.85" customHeight="1">
      <c r="A9" s="33" t="s">
        <v>180</v>
      </c>
      <c r="B9" s="34">
        <f>SUM(B6:B8)</f>
        <v>2182500</v>
      </c>
      <c r="C9" s="34">
        <f>SUM(C6:C8)</f>
        <v>2466550</v>
      </c>
      <c r="D9" s="34">
        <f>SUM(D6:D8)</f>
        <v>2795400</v>
      </c>
      <c r="E9" s="34">
        <f>SUM(E6:E8)</f>
        <v>3093050</v>
      </c>
      <c r="F9" s="34">
        <f>E9</f>
        <v>3093050</v>
      </c>
      <c r="G9" s="1"/>
    </row>
    <row r="10" spans="1:7" ht="16.8" customHeight="1">
      <c r="A10" s="23"/>
      <c r="B10" s="37"/>
      <c r="C10" s="37"/>
      <c r="D10" s="37"/>
      <c r="E10" s="37"/>
      <c r="F10" s="25"/>
      <c r="G10" s="1"/>
    </row>
    <row r="11" spans="1:7" ht="16.8" customHeight="1">
      <c r="A11" s="23" t="s">
        <v>88</v>
      </c>
      <c r="B11" s="32">
        <f>Финансирование!B24</f>
        <v>82500</v>
      </c>
      <c r="C11" s="32">
        <f>Финансирование!C24</f>
        <v>90750</v>
      </c>
      <c r="D11" s="32">
        <f>Финансирование!D24</f>
        <v>99000</v>
      </c>
      <c r="E11" s="32">
        <f>Финансирование!E24</f>
        <v>107250</v>
      </c>
      <c r="F11" s="25">
        <f>E11</f>
        <v>107250</v>
      </c>
      <c r="G11" s="1"/>
    </row>
    <row r="12" spans="1:7" ht="16.8" customHeight="1">
      <c r="A12" s="23" t="s">
        <v>181</v>
      </c>
      <c r="B12" s="32">
        <f>Финансирование!B10</f>
        <v>450000</v>
      </c>
      <c r="C12" s="32">
        <f>Финансирование!C10</f>
        <v>450000</v>
      </c>
      <c r="D12" s="32">
        <f>Финансирование!D10</f>
        <v>450000</v>
      </c>
      <c r="E12" s="32">
        <f>Финансирование!E10</f>
        <v>370000</v>
      </c>
      <c r="F12" s="25">
        <f>E12</f>
        <v>370000</v>
      </c>
      <c r="G12" s="1"/>
    </row>
    <row r="13" spans="1:7" ht="16.8" customHeight="1">
      <c r="A13" s="23" t="s">
        <v>182</v>
      </c>
      <c r="B13" s="32">
        <f>Вводные!$B$29+БДР!B23</f>
        <v>1650000</v>
      </c>
      <c r="C13" s="32">
        <f>B13+БДР!C23</f>
        <v>1925800</v>
      </c>
      <c r="D13" s="32">
        <f>C13+БДР!D23</f>
        <v>2246400</v>
      </c>
      <c r="E13" s="32">
        <f>D13+БДР!E23</f>
        <v>2615800</v>
      </c>
      <c r="F13" s="25">
        <f>E13</f>
        <v>2615800</v>
      </c>
      <c r="G13" s="7" t="s">
        <v>183</v>
      </c>
    </row>
    <row r="14" spans="1:7" ht="20.85" customHeight="1">
      <c r="A14" s="33" t="s">
        <v>184</v>
      </c>
      <c r="B14" s="34">
        <f>SUM(B11:B13)</f>
        <v>2182500</v>
      </c>
      <c r="C14" s="34">
        <f>SUM(C11:C13)</f>
        <v>2466550</v>
      </c>
      <c r="D14" s="34">
        <f>SUM(D11:D13)</f>
        <v>2795400</v>
      </c>
      <c r="E14" s="34">
        <f>SUM(E11:E13)</f>
        <v>3093050</v>
      </c>
      <c r="F14" s="34">
        <f>E14</f>
        <v>3093050</v>
      </c>
      <c r="G14" s="1"/>
    </row>
    <row r="15" spans="1:7" ht="16.8" customHeight="1">
      <c r="A15" s="23"/>
      <c r="B15" s="37"/>
      <c r="C15" s="37"/>
      <c r="D15" s="37"/>
      <c r="E15" s="37"/>
      <c r="F15" s="25"/>
      <c r="G15" s="1"/>
    </row>
    <row r="16" spans="1:7" ht="28.8" customHeight="1">
      <c r="A16" s="33" t="s">
        <v>20</v>
      </c>
      <c r="B16" s="34">
        <f>B9-B14</f>
        <v>0</v>
      </c>
      <c r="C16" s="34">
        <f>C9-C14</f>
        <v>0</v>
      </c>
      <c r="D16" s="34">
        <f>D9-D14</f>
        <v>0</v>
      </c>
      <c r="E16" s="34">
        <f>E9-E14</f>
        <v>0</v>
      </c>
      <c r="F16" s="34">
        <f>E16</f>
        <v>0</v>
      </c>
      <c r="G16" s="7" t="s">
        <v>185</v>
      </c>
    </row>
  </sheetData>
  <mergeCells count="3">
    <mergeCell ref="A1:G1"/>
    <mergeCell ref="A2:G2"/>
    <mergeCell ref="A5:G5"/>
  </mergeCells>
  <conditionalFormatting sqref="B16:F16">
    <cfRule type="cellIs" dxfId="0" priority="1" operator="not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ИТОГ_МАСТЕР БЮДЖЕТ</vt:lpstr>
      <vt:lpstr>Инструкция</vt:lpstr>
      <vt:lpstr>Вводные</vt:lpstr>
      <vt:lpstr>Операционные</vt:lpstr>
      <vt:lpstr>Финансирование</vt:lpstr>
      <vt:lpstr>БДР</vt:lpstr>
      <vt:lpstr>БДДС</vt:lpstr>
      <vt:lpstr>Баланс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Хозяин</dc:creator>
  <cp:lastModifiedBy>Хозяин</cp:lastModifiedBy>
  <dcterms:created xsi:type="dcterms:W3CDTF">2026-09-21T10:51:52Z</dcterms:created>
  <dcterms:modified xsi:type="dcterms:W3CDTF">2026-09-21T10:56:02Z</dcterms:modified>
</cp:coreProperties>
</file>